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angxuan.Liu\Dropbox\UGA\Anukul Bhattarai\Irrigation Budgets\Budget\2020.10.19\"/>
    </mc:Choice>
  </mc:AlternateContent>
  <bookViews>
    <workbookView xWindow="0" yWindow="0" windowWidth="23040" windowHeight="9190"/>
  </bookViews>
  <sheets>
    <sheet name="5 Towers Diesel" sheetId="1" r:id="rId1"/>
    <sheet name="Cost Factors" sheetId="3" r:id="rId2"/>
    <sheet name="Sheet2" sheetId="2" state="hidden" r:id="rId3"/>
    <sheet name="Sheet1" sheetId="4" state="hidden" r:id="rId4"/>
  </sheets>
  <externalReferences>
    <externalReference r:id="rId5"/>
    <externalReference r:id="rId6"/>
  </externalReferences>
  <definedNames>
    <definedName name="Crop">Sheet1!$A$1:$A$4</definedName>
    <definedName name="Irrigation">#REF!</definedName>
    <definedName name="_xlnm.Print_Area" localSheetId="0">'5 Towers Diesel'!$B$1:$H$67</definedName>
    <definedName name="Sched">[1]Sheet2!$B$1:$B$3</definedName>
    <definedName name="Sched3">Sheet2!$B$1:$B$3</definedName>
    <definedName name="SMS">[2]Sheet2!$B$1:$B$3</definedName>
  </definedNames>
  <calcPr calcId="162913" concurrentManualCount="7"/>
</workbook>
</file>

<file path=xl/calcChain.xml><?xml version="1.0" encoding="utf-8"?>
<calcChain xmlns="http://schemas.openxmlformats.org/spreadsheetml/2006/main">
  <c r="F44" i="1" l="1"/>
  <c r="G9" i="1" l="1"/>
  <c r="F41" i="1" l="1"/>
  <c r="F40" i="1"/>
  <c r="D45" i="1" l="1"/>
  <c r="F45" i="1" s="1"/>
  <c r="B20" i="1" l="1"/>
  <c r="B19" i="1"/>
  <c r="C19" i="1" s="1"/>
  <c r="C20" i="1" l="1"/>
  <c r="G45" i="1"/>
  <c r="H45" i="1" s="1"/>
  <c r="F19" i="1"/>
  <c r="B31" i="1"/>
  <c r="D19" i="1"/>
  <c r="E19" i="1"/>
  <c r="G19" i="1" l="1"/>
  <c r="E31" i="1" s="1"/>
  <c r="B32" i="1"/>
  <c r="H19" i="1" l="1"/>
  <c r="D31" i="1"/>
  <c r="F31" i="1"/>
  <c r="E20" i="1"/>
  <c r="F20" i="1"/>
  <c r="D20" i="1"/>
  <c r="G18" i="1"/>
  <c r="H18" i="1" s="1"/>
  <c r="G17" i="1"/>
  <c r="H17" i="1" s="1"/>
  <c r="G16" i="1"/>
  <c r="H16" i="1" s="1"/>
  <c r="G15" i="1"/>
  <c r="G14" i="1"/>
  <c r="G20" i="1" l="1"/>
  <c r="H15" i="1"/>
  <c r="D27" i="1"/>
  <c r="G31" i="1"/>
  <c r="H31" i="1" s="1"/>
  <c r="G21" i="1"/>
  <c r="H14" i="1"/>
  <c r="H20" i="1" l="1"/>
  <c r="H21" i="1" s="1"/>
  <c r="F38" i="1"/>
  <c r="D32" i="1"/>
  <c r="F32" i="1"/>
  <c r="E32" i="1"/>
  <c r="B29" i="1"/>
  <c r="G32" i="1" l="1"/>
  <c r="H32" i="1" s="1"/>
  <c r="F30" i="1"/>
  <c r="E30" i="1"/>
  <c r="F29" i="1"/>
  <c r="E29" i="1"/>
  <c r="F28" i="1"/>
  <c r="E28" i="1"/>
  <c r="F26" i="1"/>
  <c r="E26" i="1"/>
  <c r="D29" i="1"/>
  <c r="D30" i="1"/>
  <c r="D28" i="1"/>
  <c r="D26" i="1"/>
  <c r="G26" i="1" l="1"/>
  <c r="H26" i="1" s="1"/>
  <c r="G29" i="1"/>
  <c r="H29" i="1" s="1"/>
  <c r="G28" i="1"/>
  <c r="H28" i="1" s="1"/>
  <c r="G30" i="1"/>
  <c r="H30" i="1" s="1"/>
  <c r="G41" i="1" l="1"/>
  <c r="H41" i="1" s="1"/>
  <c r="G40" i="1" l="1"/>
  <c r="D44" i="1"/>
  <c r="F46" i="1" s="1"/>
  <c r="H40" i="1" l="1"/>
  <c r="B28" i="1"/>
  <c r="F51" i="1" l="1"/>
  <c r="F27" i="1"/>
  <c r="E27" i="1"/>
  <c r="G44" i="1"/>
  <c r="G27" i="1" l="1"/>
  <c r="H27" i="1" s="1"/>
  <c r="H33" i="1" s="1"/>
  <c r="G50" i="1" s="1"/>
  <c r="H44" i="1"/>
  <c r="G38" i="1"/>
  <c r="G46" i="1" s="1"/>
  <c r="H38" i="1" l="1"/>
  <c r="H46" i="1" s="1"/>
  <c r="H51" i="1" s="1"/>
  <c r="G51" i="1"/>
  <c r="G52" i="1" s="1"/>
  <c r="G33" i="1"/>
  <c r="F50" i="1" s="1"/>
  <c r="F52" i="1" s="1"/>
</calcChain>
</file>

<file path=xl/sharedStrings.xml><?xml version="1.0" encoding="utf-8"?>
<sst xmlns="http://schemas.openxmlformats.org/spreadsheetml/2006/main" count="81" uniqueCount="66">
  <si>
    <t>Total Operating Costs</t>
  </si>
  <si>
    <t>Cost Per Hour</t>
  </si>
  <si>
    <t>Hours</t>
  </si>
  <si>
    <t>Per Acre Inch</t>
  </si>
  <si>
    <t>Horse Power</t>
  </si>
  <si>
    <t>Operating Costs</t>
  </si>
  <si>
    <t>Total Ownership Costs</t>
  </si>
  <si>
    <t>Ownership Costs</t>
  </si>
  <si>
    <t>Well</t>
  </si>
  <si>
    <t>Pump</t>
  </si>
  <si>
    <t>Pivot System</t>
  </si>
  <si>
    <t>Pipe and Fittings</t>
  </si>
  <si>
    <t>Investment Cost</t>
  </si>
  <si>
    <t>Cost/Unit</t>
  </si>
  <si>
    <t>Quantity</t>
  </si>
  <si>
    <t>Investment Costs</t>
  </si>
  <si>
    <t>Cost Factor</t>
  </si>
  <si>
    <t>Salvage Value</t>
  </si>
  <si>
    <t>Useful Life</t>
  </si>
  <si>
    <t xml:space="preserve">Ownership Costs </t>
  </si>
  <si>
    <t>Per acre</t>
  </si>
  <si>
    <t xml:space="preserve">Investment Costs </t>
  </si>
  <si>
    <t>Per Acre</t>
  </si>
  <si>
    <t>Corn</t>
  </si>
  <si>
    <t>Cotton</t>
  </si>
  <si>
    <t>Crop Type</t>
  </si>
  <si>
    <t>Cost Per Acre Inch</t>
  </si>
  <si>
    <t>Annual Costs</t>
  </si>
  <si>
    <t>Peanut</t>
  </si>
  <si>
    <t>Checkbook</t>
  </si>
  <si>
    <t>SMS Plus</t>
  </si>
  <si>
    <t>App Based</t>
  </si>
  <si>
    <t>Base Station</t>
  </si>
  <si>
    <t>Pipe and Fittings (Feet)</t>
  </si>
  <si>
    <t>Total Investment Costs</t>
  </si>
  <si>
    <t>Gearhead System</t>
  </si>
  <si>
    <t>Cost Per Gallon</t>
  </si>
  <si>
    <t>SMS</t>
  </si>
  <si>
    <t xml:space="preserve"> Per Acre</t>
  </si>
  <si>
    <t>Cost Per Acre</t>
  </si>
  <si>
    <r>
      <rPr>
        <vertAlign val="superscript"/>
        <sz val="9"/>
        <color theme="1"/>
        <rFont val="Calibri"/>
        <family val="2"/>
        <scheme val="minor"/>
      </rPr>
      <t>1</t>
    </r>
    <r>
      <rPr>
        <sz val="9"/>
        <color theme="1"/>
        <rFont val="Calibri"/>
        <family val="2"/>
        <scheme val="minor"/>
      </rPr>
      <t xml:space="preserve"> Three types of irrigation scheduling methods, including calendar-based checkbook method (Checkbook), soil moisture sensor-based method (SMS plus), and cellphone app-based method (App based). SMS plus method includes the cost of soil moisture sensors and a base station. The base station receives and analyzes the field data collected by soil moisture sensors. The acre inch of water applied depends upon the type of irrigation scheduling method used and the crop planted. </t>
    </r>
  </si>
  <si>
    <t>65 Acres Diesel Powered Center Pivot Irrigation Budget</t>
  </si>
  <si>
    <t>Labor</t>
  </si>
  <si>
    <t>Management</t>
  </si>
  <si>
    <t>Generator (Fuel)</t>
  </si>
  <si>
    <t>Pump (Fuel)</t>
  </si>
  <si>
    <t>Depreciation</t>
  </si>
  <si>
    <t>Intermediate Interest</t>
  </si>
  <si>
    <t>Tax &amp; Insurance</t>
  </si>
  <si>
    <t>Repairs and Maintenance</t>
  </si>
  <si>
    <r>
      <t>Irrigation Scheduling Method</t>
    </r>
    <r>
      <rPr>
        <b/>
        <vertAlign val="superscript"/>
        <sz val="11"/>
        <color theme="1"/>
        <rFont val="Calibri"/>
        <family val="2"/>
        <scheme val="minor"/>
      </rPr>
      <t>1</t>
    </r>
  </si>
  <si>
    <t xml:space="preserve">Total Costs </t>
  </si>
  <si>
    <t>Cost Per Pivot</t>
  </si>
  <si>
    <t>Developed by Anukul Bhattarai, Amanda Smith, Yangxuan Liu, Wesley Porter, Calvin Perry, Cale Cloud, and David Hall. Funding support provided by the Georgia Cotton Commission. Thanks to County Extension Agents, UGA Cotton Team, UGA H2O Task Force, and industry representatives for providing data, input, and review/suggestions.</t>
  </si>
  <si>
    <t>Acres</t>
  </si>
  <si>
    <t>Inches</t>
  </si>
  <si>
    <t>Acreage Covered</t>
  </si>
  <si>
    <t>Annual Acre Inch Applied</t>
  </si>
  <si>
    <r>
      <t>Pivot System (5 Towers)</t>
    </r>
    <r>
      <rPr>
        <b/>
        <vertAlign val="superscript"/>
        <sz val="11"/>
        <color theme="1"/>
        <rFont val="Calibri"/>
        <family val="2"/>
        <scheme val="minor"/>
      </rPr>
      <t>2</t>
    </r>
  </si>
  <si>
    <r>
      <t>Well</t>
    </r>
    <r>
      <rPr>
        <b/>
        <vertAlign val="superscript"/>
        <sz val="11"/>
        <color theme="1"/>
        <rFont val="Calibri"/>
        <family val="2"/>
        <scheme val="minor"/>
      </rPr>
      <t>3</t>
    </r>
  </si>
  <si>
    <t>Average Application Rate</t>
  </si>
  <si>
    <t>Georgia, 2021</t>
  </si>
  <si>
    <r>
      <rPr>
        <vertAlign val="superscript"/>
        <sz val="9"/>
        <color theme="1"/>
        <rFont val="Calibri"/>
        <family val="2"/>
        <scheme val="minor"/>
      </rPr>
      <t>2</t>
    </r>
    <r>
      <rPr>
        <sz val="9"/>
        <color theme="1"/>
        <rFont val="Calibri"/>
        <family val="2"/>
        <scheme val="minor"/>
      </rPr>
      <t xml:space="preserve"> The costs of the pivot system include the costs of 5 towers with tower auto reverse, control panel, center drives, wheel gearboxes, hose drops, end gun, booster pump, barricades, tires, flow meter, welding, steel pipe, flanges, gaskets, bolts, and installation.</t>
    </r>
  </si>
  <si>
    <t>Average Time for Full Coverage</t>
  </si>
  <si>
    <r>
      <rPr>
        <vertAlign val="superscript"/>
        <sz val="9"/>
        <color theme="1"/>
        <rFont val="Calibri"/>
        <family val="2"/>
        <scheme val="minor"/>
      </rPr>
      <t>3</t>
    </r>
    <r>
      <rPr>
        <sz val="9"/>
        <color theme="1"/>
        <rFont val="Calibri"/>
        <family val="2"/>
        <scheme val="minor"/>
      </rPr>
      <t xml:space="preserve"> The cost of the well depends on the depth and size of the well. Certain regions in Georgia require a deeper depth of the well to pump water from the Claiborne Aquifer (700 + feet) instead of the Floridan Aquifer (60-600 feet). The assumption in this budget for the well is a 12-inch 500 feet open hole well with 300 feet casing</t>
    </r>
  </si>
  <si>
    <t xml:space="preserve">A base station can control and process the soil moisture data from multiple pivots on a farm simultaneously. Thus, the investment cost for the base station is adjusted with the number of pivots on the farm. We assume that a farm has two 160 acres center pivots in our irrigation budgets.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</si>
</sst>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8" x14ac:knownFonts="1">
    <font>
      <sz val="11"/>
      <color theme="1"/>
      <name val="Calibri"/>
      <family val="2"/>
      <scheme val="minor"/>
    </font>
    <font>
      <b/>
      <sz val="14"/>
      <color theme="1"/>
      <name val="Calibri"/>
      <family val="2"/>
      <scheme val="minor"/>
    </font>
    <font>
      <b/>
      <sz val="11"/>
      <color theme="1"/>
      <name val="Calibri"/>
      <family val="2"/>
      <scheme val="minor"/>
    </font>
    <font>
      <b/>
      <vertAlign val="superscript"/>
      <sz val="11"/>
      <color theme="1"/>
      <name val="Calibri"/>
      <family val="2"/>
      <scheme val="minor"/>
    </font>
    <font>
      <b/>
      <sz val="11"/>
      <color theme="3" tint="-0.249977111117893"/>
      <name val="Calibri"/>
      <family val="2"/>
      <scheme val="minor"/>
    </font>
    <font>
      <i/>
      <sz val="9"/>
      <color theme="1"/>
      <name val="Calibri"/>
      <family val="2"/>
      <scheme val="minor"/>
    </font>
    <font>
      <sz val="9"/>
      <color theme="1"/>
      <name val="Calibri"/>
      <family val="2"/>
      <scheme val="minor"/>
    </font>
    <font>
      <vertAlign val="superscript"/>
      <sz val="9"/>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auto="1"/>
      </top>
      <bottom/>
      <diagonal/>
    </border>
  </borders>
  <cellStyleXfs count="1">
    <xf numFmtId="0" fontId="0" fillId="0" borderId="0"/>
  </cellStyleXfs>
  <cellXfs count="102">
    <xf numFmtId="0" fontId="0" fillId="0" borderId="0" xfId="0"/>
    <xf numFmtId="0" fontId="1" fillId="0" borderId="0" xfId="0" applyFont="1"/>
    <xf numFmtId="0" fontId="1" fillId="0" borderId="0" xfId="0" applyFont="1" applyFill="1" applyBorder="1"/>
    <xf numFmtId="0" fontId="0" fillId="0" borderId="0" xfId="0" applyNumberFormat="1" applyFont="1" applyBorder="1" applyAlignment="1">
      <alignment horizontal="center"/>
    </xf>
    <xf numFmtId="10" fontId="0" fillId="0" borderId="0" xfId="0" applyNumberFormat="1" applyAlignment="1">
      <alignment horizontal="center"/>
    </xf>
    <xf numFmtId="0" fontId="1" fillId="0" borderId="0" xfId="0" applyFont="1" applyAlignment="1">
      <alignment horizontal="center"/>
    </xf>
    <xf numFmtId="0" fontId="0" fillId="0" borderId="0" xfId="0" applyAlignment="1">
      <alignment vertical="center" wrapText="1"/>
    </xf>
    <xf numFmtId="0" fontId="1" fillId="0" borderId="0" xfId="0" applyFont="1" applyBorder="1"/>
    <xf numFmtId="0" fontId="0" fillId="0" borderId="0" xfId="0" applyFont="1"/>
    <xf numFmtId="0" fontId="2" fillId="0" borderId="0" xfId="0" applyFont="1"/>
    <xf numFmtId="0" fontId="4" fillId="0" borderId="0" xfId="0" applyFont="1" applyAlignment="1"/>
    <xf numFmtId="0" fontId="2" fillId="0" borderId="0" xfId="0" applyFont="1" applyBorder="1" applyAlignment="1"/>
    <xf numFmtId="0" fontId="2" fillId="0" borderId="0" xfId="0" applyFont="1" applyBorder="1"/>
    <xf numFmtId="0" fontId="0" fillId="0" borderId="0" xfId="0" applyFont="1" applyBorder="1"/>
    <xf numFmtId="0" fontId="0" fillId="0" borderId="4" xfId="0" applyFont="1" applyBorder="1"/>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xf>
    <xf numFmtId="0" fontId="0" fillId="0" borderId="8" xfId="0" applyFont="1" applyBorder="1"/>
    <xf numFmtId="0" fontId="2" fillId="0" borderId="1" xfId="0" applyFont="1" applyBorder="1" applyAlignment="1">
      <alignment horizontal="center" vertical="center"/>
    </xf>
    <xf numFmtId="0" fontId="2" fillId="0" borderId="9" xfId="0" applyFont="1" applyBorder="1" applyAlignment="1">
      <alignment horizontal="center" vertical="center" wrapText="1"/>
    </xf>
    <xf numFmtId="0" fontId="2" fillId="0" borderId="6" xfId="0" applyFont="1" applyBorder="1"/>
    <xf numFmtId="0" fontId="0" fillId="0" borderId="0" xfId="0" applyFont="1" applyBorder="1" applyAlignment="1">
      <alignment horizontal="center"/>
    </xf>
    <xf numFmtId="164" fontId="0" fillId="0" borderId="0" xfId="0" applyNumberFormat="1" applyFont="1" applyFill="1" applyBorder="1" applyAlignment="1">
      <alignment horizontal="center"/>
    </xf>
    <xf numFmtId="164" fontId="0" fillId="0" borderId="0" xfId="0" applyNumberFormat="1" applyFont="1" applyBorder="1" applyAlignment="1">
      <alignment horizontal="center"/>
    </xf>
    <xf numFmtId="164" fontId="0" fillId="0" borderId="7" xfId="0" applyNumberFormat="1" applyFont="1" applyBorder="1" applyAlignment="1">
      <alignment horizontal="center"/>
    </xf>
    <xf numFmtId="0" fontId="2" fillId="0" borderId="8" xfId="0" applyFont="1" applyBorder="1"/>
    <xf numFmtId="0" fontId="2" fillId="0" borderId="10" xfId="0" applyFont="1" applyFill="1" applyBorder="1" applyAlignment="1"/>
    <xf numFmtId="0" fontId="2" fillId="0" borderId="2" xfId="0" applyFont="1" applyFill="1" applyBorder="1" applyAlignment="1"/>
    <xf numFmtId="0" fontId="2" fillId="0" borderId="2" xfId="0" applyFont="1" applyFill="1" applyBorder="1"/>
    <xf numFmtId="0" fontId="0" fillId="0" borderId="2" xfId="0" applyFont="1" applyBorder="1"/>
    <xf numFmtId="164" fontId="2" fillId="0" borderId="2" xfId="0" applyNumberFormat="1" applyFont="1" applyBorder="1" applyAlignment="1">
      <alignment horizontal="center"/>
    </xf>
    <xf numFmtId="164" fontId="2" fillId="0" borderId="11" xfId="0" applyNumberFormat="1" applyFont="1" applyBorder="1" applyAlignment="1">
      <alignment horizontal="center"/>
    </xf>
    <xf numFmtId="164" fontId="2" fillId="0" borderId="0" xfId="0" applyNumberFormat="1" applyFont="1" applyBorder="1" applyAlignment="1">
      <alignment horizontal="center"/>
    </xf>
    <xf numFmtId="0" fontId="2" fillId="0" borderId="0" xfId="0" applyFont="1" applyFill="1" applyBorder="1"/>
    <xf numFmtId="0" fontId="2" fillId="0" borderId="1" xfId="0" applyFont="1" applyFill="1" applyBorder="1"/>
    <xf numFmtId="0" fontId="0" fillId="0" borderId="1" xfId="0" applyFont="1" applyBorder="1"/>
    <xf numFmtId="0" fontId="2" fillId="0" borderId="4" xfId="0" applyFont="1" applyFill="1" applyBorder="1"/>
    <xf numFmtId="0" fontId="0" fillId="0" borderId="3" xfId="0" applyFont="1" applyBorder="1"/>
    <xf numFmtId="0" fontId="2" fillId="0" borderId="3" xfId="0" applyFont="1" applyBorder="1" applyAlignment="1">
      <alignment horizontal="center"/>
    </xf>
    <xf numFmtId="0" fontId="2" fillId="0" borderId="3" xfId="0" applyNumberFormat="1" applyFont="1" applyFill="1" applyBorder="1" applyAlignment="1">
      <alignment horizontal="center"/>
    </xf>
    <xf numFmtId="0" fontId="2" fillId="0" borderId="5" xfId="0" applyFont="1" applyBorder="1" applyAlignment="1">
      <alignment horizontal="center"/>
    </xf>
    <xf numFmtId="0" fontId="2" fillId="0" borderId="8" xfId="0" applyFont="1" applyFill="1" applyBorder="1"/>
    <xf numFmtId="0" fontId="0" fillId="0" borderId="1" xfId="0" applyFont="1" applyBorder="1" applyAlignment="1">
      <alignment horizontal="center"/>
    </xf>
    <xf numFmtId="0" fontId="2" fillId="0" borderId="1" xfId="0" applyNumberFormat="1" applyFont="1" applyBorder="1" applyAlignment="1">
      <alignment horizontal="center"/>
    </xf>
    <xf numFmtId="0" fontId="2" fillId="0" borderId="9" xfId="0" applyFont="1" applyBorder="1" applyAlignment="1">
      <alignment horizontal="center"/>
    </xf>
    <xf numFmtId="164" fontId="0" fillId="0" borderId="5" xfId="0" applyNumberFormat="1" applyFont="1" applyBorder="1" applyAlignment="1">
      <alignment horizontal="center"/>
    </xf>
    <xf numFmtId="0" fontId="2" fillId="0" borderId="6" xfId="0" applyFont="1" applyFill="1" applyBorder="1"/>
    <xf numFmtId="0" fontId="2" fillId="0" borderId="10" xfId="0" applyFont="1" applyFill="1" applyBorder="1" applyAlignment="1">
      <alignment horizontal="left"/>
    </xf>
    <xf numFmtId="0" fontId="2" fillId="0" borderId="2" xfId="0" applyFont="1" applyFill="1" applyBorder="1" applyAlignment="1">
      <alignment horizontal="center"/>
    </xf>
    <xf numFmtId="0" fontId="0" fillId="0" borderId="1" xfId="0" applyFont="1" applyFill="1" applyBorder="1"/>
    <xf numFmtId="0" fontId="0" fillId="0" borderId="0" xfId="0" applyFont="1" applyFill="1" applyBorder="1"/>
    <xf numFmtId="0" fontId="0" fillId="0" borderId="0" xfId="0" applyNumberFormat="1" applyFont="1" applyFill="1" applyBorder="1" applyAlignment="1">
      <alignment horizontal="center"/>
    </xf>
    <xf numFmtId="0" fontId="2" fillId="0" borderId="4" xfId="0" applyFont="1" applyBorder="1"/>
    <xf numFmtId="0" fontId="2" fillId="0" borderId="3" xfId="0" applyNumberFormat="1" applyFont="1" applyBorder="1" applyAlignment="1">
      <alignment horizontal="center"/>
    </xf>
    <xf numFmtId="0" fontId="2" fillId="0" borderId="5" xfId="0" applyNumberFormat="1" applyFont="1" applyBorder="1" applyAlignment="1">
      <alignment horizontal="center"/>
    </xf>
    <xf numFmtId="1" fontId="2" fillId="0" borderId="1" xfId="0" applyNumberFormat="1" applyFont="1" applyBorder="1" applyAlignment="1">
      <alignment horizontal="center"/>
    </xf>
    <xf numFmtId="164" fontId="2" fillId="0" borderId="1" xfId="0" applyNumberFormat="1" applyFont="1" applyBorder="1" applyAlignment="1">
      <alignment horizontal="center"/>
    </xf>
    <xf numFmtId="0" fontId="2" fillId="0" borderId="9" xfId="0" applyNumberFormat="1" applyFont="1" applyBorder="1" applyAlignment="1">
      <alignment horizontal="center"/>
    </xf>
    <xf numFmtId="164" fontId="0" fillId="0" borderId="1" xfId="0" applyNumberFormat="1" applyFont="1" applyBorder="1" applyAlignment="1">
      <alignment horizontal="center"/>
    </xf>
    <xf numFmtId="0" fontId="2" fillId="0" borderId="10" xfId="0" applyFont="1" applyFill="1" applyBorder="1"/>
    <xf numFmtId="0" fontId="0" fillId="0" borderId="10" xfId="0" applyFont="1" applyBorder="1"/>
    <xf numFmtId="0" fontId="2" fillId="0" borderId="2" xfId="0" applyFont="1" applyBorder="1" applyAlignment="1">
      <alignment horizontal="center" wrapText="1"/>
    </xf>
    <xf numFmtId="0" fontId="5" fillId="0" borderId="0" xfId="0" applyFont="1" applyBorder="1" applyAlignment="1">
      <alignment horizontal="left" vertical="top" wrapText="1"/>
    </xf>
    <xf numFmtId="0" fontId="2" fillId="0" borderId="2" xfId="0" applyFont="1" applyBorder="1" applyAlignment="1">
      <alignment horizontal="center"/>
    </xf>
    <xf numFmtId="0" fontId="2" fillId="0" borderId="11" xfId="0" applyFont="1" applyBorder="1" applyAlignment="1">
      <alignment horizontal="center" wrapText="1"/>
    </xf>
    <xf numFmtId="0" fontId="2" fillId="0" borderId="10" xfId="0" applyFont="1" applyBorder="1"/>
    <xf numFmtId="164" fontId="0" fillId="0" borderId="11" xfId="0" applyNumberFormat="1" applyFont="1" applyBorder="1"/>
    <xf numFmtId="164" fontId="2" fillId="0" borderId="11" xfId="0" applyNumberFormat="1" applyFont="1" applyBorder="1"/>
    <xf numFmtId="0" fontId="0" fillId="0" borderId="11" xfId="0" applyFont="1" applyBorder="1"/>
    <xf numFmtId="0" fontId="2" fillId="0" borderId="0" xfId="0" applyFont="1" applyBorder="1" applyAlignment="1">
      <alignment horizontal="center"/>
    </xf>
    <xf numFmtId="0" fontId="2" fillId="0" borderId="0" xfId="0" applyNumberFormat="1" applyFont="1" applyBorder="1" applyAlignment="1">
      <alignment horizontal="center"/>
    </xf>
    <xf numFmtId="0" fontId="2" fillId="0" borderId="7" xfId="0" applyNumberFormat="1" applyFont="1" applyBorder="1" applyAlignment="1">
      <alignment horizontal="center"/>
    </xf>
    <xf numFmtId="1" fontId="2" fillId="0" borderId="0" xfId="0" applyNumberFormat="1" applyFont="1" applyBorder="1" applyAlignment="1">
      <alignment horizontal="center"/>
    </xf>
    <xf numFmtId="0" fontId="2" fillId="2" borderId="0" xfId="0" applyFont="1" applyFill="1" applyBorder="1" applyAlignment="1">
      <alignment horizontal="center"/>
    </xf>
    <xf numFmtId="0" fontId="2" fillId="2" borderId="7" xfId="0" applyFont="1" applyFill="1" applyBorder="1" applyAlignment="1">
      <alignment horizontal="center"/>
    </xf>
    <xf numFmtId="0" fontId="2" fillId="2" borderId="1" xfId="0" applyFont="1" applyFill="1" applyBorder="1" applyAlignment="1">
      <alignment horizontal="center"/>
    </xf>
    <xf numFmtId="0" fontId="2" fillId="2" borderId="9" xfId="0" applyFont="1" applyFill="1" applyBorder="1" applyAlignment="1">
      <alignment horizontal="center"/>
    </xf>
    <xf numFmtId="0" fontId="0" fillId="2" borderId="0" xfId="0" applyFont="1" applyFill="1" applyBorder="1" applyAlignment="1">
      <alignment horizontal="center"/>
    </xf>
    <xf numFmtId="164" fontId="0" fillId="2" borderId="0" xfId="0" applyNumberFormat="1" applyFont="1" applyFill="1" applyBorder="1" applyAlignment="1">
      <alignment horizontal="center"/>
    </xf>
    <xf numFmtId="0" fontId="0" fillId="2" borderId="0" xfId="0" applyNumberFormat="1" applyFont="1" applyFill="1" applyBorder="1" applyAlignment="1">
      <alignment horizontal="center"/>
    </xf>
    <xf numFmtId="0" fontId="0" fillId="2" borderId="1" xfId="0" applyNumberFormat="1" applyFont="1" applyFill="1" applyBorder="1" applyAlignment="1">
      <alignment horizontal="center"/>
    </xf>
    <xf numFmtId="10" fontId="2" fillId="2" borderId="1" xfId="0" applyNumberFormat="1" applyFont="1" applyFill="1" applyBorder="1" applyAlignment="1">
      <alignment horizontal="center"/>
    </xf>
    <xf numFmtId="2" fontId="0" fillId="2" borderId="0" xfId="0" applyNumberFormat="1" applyFont="1" applyFill="1" applyBorder="1" applyAlignment="1">
      <alignment horizontal="center"/>
    </xf>
    <xf numFmtId="2" fontId="0" fillId="2" borderId="1" xfId="0" applyNumberFormat="1" applyFont="1" applyFill="1" applyBorder="1" applyAlignment="1">
      <alignment horizontal="center"/>
    </xf>
    <xf numFmtId="164" fontId="0" fillId="2" borderId="1" xfId="0" applyNumberFormat="1" applyFont="1" applyFill="1" applyBorder="1" applyAlignment="1">
      <alignment horizontal="center"/>
    </xf>
    <xf numFmtId="0" fontId="2" fillId="0" borderId="0" xfId="0" applyFont="1" applyAlignment="1">
      <alignment horizontal="center"/>
    </xf>
    <xf numFmtId="0" fontId="2" fillId="0" borderId="6" xfId="0" applyFont="1" applyBorder="1" applyAlignment="1">
      <alignment horizontal="left"/>
    </xf>
    <xf numFmtId="0" fontId="2" fillId="0" borderId="0" xfId="0" applyFont="1" applyBorder="1" applyAlignment="1">
      <alignment horizontal="left"/>
    </xf>
    <xf numFmtId="0" fontId="6" fillId="0" borderId="0" xfId="0" applyFont="1" applyAlignment="1">
      <alignment horizontal="left" vertical="center" wrapText="1"/>
    </xf>
    <xf numFmtId="0" fontId="6" fillId="0" borderId="0" xfId="0" applyFont="1" applyAlignment="1">
      <alignment horizontal="left" vertical="center"/>
    </xf>
    <xf numFmtId="0" fontId="2" fillId="0" borderId="4" xfId="0" applyFont="1" applyBorder="1" applyAlignment="1"/>
    <xf numFmtId="0" fontId="2" fillId="0" borderId="3" xfId="0" applyFont="1" applyBorder="1" applyAlignment="1"/>
    <xf numFmtId="0" fontId="2" fillId="2" borderId="3" xfId="0" applyFont="1" applyFill="1" applyBorder="1" applyAlignment="1">
      <alignment horizontal="center"/>
    </xf>
    <xf numFmtId="0" fontId="2" fillId="2" borderId="5" xfId="0" applyFont="1" applyFill="1" applyBorder="1" applyAlignment="1">
      <alignment horizontal="center"/>
    </xf>
    <xf numFmtId="0" fontId="5" fillId="0" borderId="12" xfId="0" applyFont="1" applyBorder="1" applyAlignment="1">
      <alignment horizontal="left" vertical="top" wrapText="1"/>
    </xf>
    <xf numFmtId="0" fontId="5" fillId="0" borderId="0" xfId="0" applyFont="1" applyBorder="1" applyAlignment="1">
      <alignment horizontal="left" vertical="top" wrapText="1"/>
    </xf>
    <xf numFmtId="0" fontId="2" fillId="0" borderId="8" xfId="0" applyFont="1" applyBorder="1" applyAlignment="1">
      <alignment horizontal="left"/>
    </xf>
    <xf numFmtId="0" fontId="2" fillId="0" borderId="1" xfId="0" applyFont="1" applyBorder="1" applyAlignment="1">
      <alignment horizontal="left"/>
    </xf>
    <xf numFmtId="0" fontId="2" fillId="2" borderId="0" xfId="0" applyFont="1" applyFill="1" applyBorder="1" applyAlignment="1">
      <alignment horizontal="center"/>
    </xf>
    <xf numFmtId="0" fontId="2" fillId="2" borderId="7" xfId="0" applyFont="1" applyFill="1" applyBorder="1" applyAlignment="1">
      <alignment horizontal="center"/>
    </xf>
    <xf numFmtId="0" fontId="6" fillId="0" borderId="0"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ngxuan.Liu/AppData/Local/Microsoft/Windows/INetCache/Content.Outlook/I6G90FHO/5%20Towers%20Electri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angxuan.Liu/Dropbox/UGA/Yangxuan%20Liu/Irrigation/Irrigation%20Budgets/Budget/2020.05.19/irrigation%20budget%20outline%20for%205%20towers%20diesel%20op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Tower Electric"/>
      <sheetName val="Cost Factor for Electric"/>
      <sheetName val="Sheet2"/>
    </sheetNames>
    <sheetDataSet>
      <sheetData sheetId="0"/>
      <sheetData sheetId="1"/>
      <sheetData sheetId="2">
        <row r="1">
          <cell r="B1" t="str">
            <v>None</v>
          </cell>
        </row>
        <row r="2">
          <cell r="B2" t="str">
            <v>Tensiometric</v>
          </cell>
        </row>
        <row r="3">
          <cell r="B3" t="str">
            <v>Capacitance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Tower Diesel"/>
      <sheetName val="Cost Factor for Diesel"/>
      <sheetName val="Sheet2"/>
    </sheetNames>
    <sheetDataSet>
      <sheetData sheetId="0"/>
      <sheetData sheetId="1"/>
      <sheetData sheetId="2">
        <row r="1">
          <cell r="B1" t="str">
            <v>None</v>
          </cell>
        </row>
        <row r="2">
          <cell r="B2" t="str">
            <v>Tensiometric</v>
          </cell>
        </row>
        <row r="3">
          <cell r="B3" t="str">
            <v>Capacitance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7"/>
  <sheetViews>
    <sheetView tabSelected="1" topLeftCell="A61" zoomScaleNormal="100" workbookViewId="0">
      <selection activeCell="C69" sqref="C69"/>
    </sheetView>
  </sheetViews>
  <sheetFormatPr defaultRowHeight="14.5" x14ac:dyDescent="0.35"/>
  <cols>
    <col min="1" max="1" width="1.1796875" customWidth="1"/>
    <col min="2" max="2" width="29.08984375" customWidth="1"/>
    <col min="3" max="3" width="10.90625" customWidth="1"/>
    <col min="4" max="4" width="16.36328125" customWidth="1"/>
    <col min="5" max="5" width="20.453125" bestFit="1" customWidth="1"/>
    <col min="6" max="8" width="16.36328125" customWidth="1"/>
    <col min="9" max="9" width="28.453125" customWidth="1"/>
    <col min="10" max="10" width="15.6328125" customWidth="1"/>
    <col min="11" max="11" width="22.08984375" customWidth="1"/>
    <col min="12" max="12" width="12.6328125" customWidth="1"/>
  </cols>
  <sheetData>
    <row r="1" spans="2:12" s="8" customFormat="1" x14ac:dyDescent="0.35">
      <c r="B1" s="86" t="s">
        <v>41</v>
      </c>
      <c r="C1" s="86"/>
      <c r="D1" s="86"/>
      <c r="E1" s="86"/>
      <c r="F1" s="86"/>
      <c r="G1" s="86"/>
      <c r="H1" s="86"/>
    </row>
    <row r="2" spans="2:12" s="8" customFormat="1" x14ac:dyDescent="0.35">
      <c r="B2" s="86" t="s">
        <v>61</v>
      </c>
      <c r="C2" s="86"/>
      <c r="D2" s="86"/>
      <c r="E2" s="86"/>
      <c r="F2" s="86"/>
      <c r="G2" s="86"/>
      <c r="H2" s="86"/>
    </row>
    <row r="3" spans="2:12" s="8" customFormat="1" ht="15" thickBot="1" x14ac:dyDescent="0.4"/>
    <row r="4" spans="2:12" s="8" customFormat="1" x14ac:dyDescent="0.35">
      <c r="B4" s="91" t="s">
        <v>25</v>
      </c>
      <c r="C4" s="92"/>
      <c r="D4" s="92"/>
      <c r="E4" s="92"/>
      <c r="F4" s="92"/>
      <c r="G4" s="93" t="s">
        <v>23</v>
      </c>
      <c r="H4" s="94"/>
      <c r="I4" s="9"/>
      <c r="J4" s="9"/>
    </row>
    <row r="5" spans="2:12" s="8" customFormat="1" ht="16.5" x14ac:dyDescent="0.35">
      <c r="B5" s="87" t="s">
        <v>50</v>
      </c>
      <c r="C5" s="88"/>
      <c r="D5" s="88"/>
      <c r="E5" s="88"/>
      <c r="F5" s="88"/>
      <c r="G5" s="99" t="s">
        <v>29</v>
      </c>
      <c r="H5" s="100"/>
      <c r="I5" s="9"/>
      <c r="J5" s="9"/>
    </row>
    <row r="6" spans="2:12" s="8" customFormat="1" x14ac:dyDescent="0.35">
      <c r="B6" s="87" t="s">
        <v>56</v>
      </c>
      <c r="C6" s="88"/>
      <c r="D6" s="88"/>
      <c r="E6" s="88"/>
      <c r="F6" s="88"/>
      <c r="G6" s="74">
        <v>65</v>
      </c>
      <c r="H6" s="75" t="s">
        <v>54</v>
      </c>
      <c r="I6" s="9"/>
      <c r="J6" s="9"/>
    </row>
    <row r="7" spans="2:12" s="8" customFormat="1" x14ac:dyDescent="0.35">
      <c r="B7" s="87" t="s">
        <v>63</v>
      </c>
      <c r="C7" s="88"/>
      <c r="D7" s="88"/>
      <c r="E7" s="88"/>
      <c r="F7" s="88"/>
      <c r="G7" s="74">
        <v>43.5</v>
      </c>
      <c r="H7" s="75" t="s">
        <v>2</v>
      </c>
      <c r="I7" s="9"/>
      <c r="J7" s="9"/>
    </row>
    <row r="8" spans="2:12" s="8" customFormat="1" x14ac:dyDescent="0.35">
      <c r="B8" s="87" t="s">
        <v>60</v>
      </c>
      <c r="C8" s="88"/>
      <c r="D8" s="88"/>
      <c r="E8" s="88"/>
      <c r="F8" s="88"/>
      <c r="G8" s="74">
        <v>1</v>
      </c>
      <c r="H8" s="75" t="s">
        <v>55</v>
      </c>
      <c r="I8" s="9"/>
      <c r="J8" s="9"/>
    </row>
    <row r="9" spans="2:12" s="8" customFormat="1" ht="15" thickBot="1" x14ac:dyDescent="0.4">
      <c r="B9" s="97" t="s">
        <v>57</v>
      </c>
      <c r="C9" s="98"/>
      <c r="D9" s="98"/>
      <c r="E9" s="98"/>
      <c r="F9" s="98"/>
      <c r="G9" s="76" t="str">
        <f>IF(G4="Corn",IF(G5="SMS Plus","10",IF(AND(G5="App Based"),"10","16")),IF(G4="Cotton",IF(G5="SMS Plus","5",IF(AND(G5="App Based"),"6","11")),IF(G4="Peanut",IF(G5="SMS Plus","6",IF(AND(G5="App Based"),"6","10")))))</f>
        <v>16</v>
      </c>
      <c r="H9" s="77" t="s">
        <v>55</v>
      </c>
      <c r="J9" s="9"/>
    </row>
    <row r="10" spans="2:12" s="8" customFormat="1" x14ac:dyDescent="0.35">
      <c r="B10" s="10"/>
      <c r="I10" s="9"/>
      <c r="J10" s="9"/>
      <c r="K10" s="9"/>
    </row>
    <row r="11" spans="2:12" s="8" customFormat="1" ht="15" thickBot="1" x14ac:dyDescent="0.4">
      <c r="B11" s="11" t="s">
        <v>15</v>
      </c>
      <c r="C11" s="11"/>
      <c r="D11" s="11"/>
      <c r="E11" s="11"/>
      <c r="F11" s="12"/>
      <c r="G11" s="13"/>
      <c r="H11" s="13"/>
      <c r="I11" s="9"/>
      <c r="J11" s="9"/>
      <c r="K11" s="9"/>
      <c r="L11" s="13"/>
    </row>
    <row r="12" spans="2:12" s="8" customFormat="1" ht="15.75" customHeight="1" x14ac:dyDescent="0.35">
      <c r="B12" s="14"/>
      <c r="C12" s="15" t="s">
        <v>18</v>
      </c>
      <c r="D12" s="15" t="s">
        <v>17</v>
      </c>
      <c r="E12" s="15" t="s">
        <v>14</v>
      </c>
      <c r="F12" s="15" t="s">
        <v>13</v>
      </c>
      <c r="G12" s="15" t="s">
        <v>12</v>
      </c>
      <c r="H12" s="16" t="s">
        <v>21</v>
      </c>
      <c r="I12" s="9"/>
      <c r="J12" s="9"/>
      <c r="K12" s="9"/>
      <c r="L12" s="17"/>
    </row>
    <row r="13" spans="2:12" s="8" customFormat="1" ht="15.75" customHeight="1" thickBot="1" x14ac:dyDescent="0.4">
      <c r="B13" s="18"/>
      <c r="C13" s="19"/>
      <c r="D13" s="19"/>
      <c r="E13" s="19"/>
      <c r="F13" s="19"/>
      <c r="G13" s="19"/>
      <c r="H13" s="20" t="s">
        <v>22</v>
      </c>
      <c r="I13" s="9"/>
      <c r="J13" s="9"/>
      <c r="K13" s="9"/>
      <c r="L13" s="17"/>
    </row>
    <row r="14" spans="2:12" s="8" customFormat="1" x14ac:dyDescent="0.35">
      <c r="B14" s="21" t="s">
        <v>33</v>
      </c>
      <c r="C14" s="78">
        <v>20</v>
      </c>
      <c r="D14" s="78">
        <v>0</v>
      </c>
      <c r="E14" s="78">
        <v>500</v>
      </c>
      <c r="F14" s="79">
        <v>7.75</v>
      </c>
      <c r="G14" s="24">
        <f t="shared" ref="G14:G18" si="0">E14*F14</f>
        <v>3875</v>
      </c>
      <c r="H14" s="25">
        <f t="shared" ref="H14:H18" si="1">G14/$G$6</f>
        <v>59.615384615384613</v>
      </c>
      <c r="I14" s="9"/>
      <c r="J14" s="9"/>
      <c r="K14" s="9"/>
      <c r="L14" s="3"/>
    </row>
    <row r="15" spans="2:12" s="8" customFormat="1" ht="16.5" x14ac:dyDescent="0.35">
      <c r="B15" s="21" t="s">
        <v>58</v>
      </c>
      <c r="C15" s="80">
        <v>20</v>
      </c>
      <c r="D15" s="80">
        <v>0</v>
      </c>
      <c r="E15" s="78">
        <v>1</v>
      </c>
      <c r="F15" s="79">
        <v>67000</v>
      </c>
      <c r="G15" s="24">
        <f t="shared" si="0"/>
        <v>67000</v>
      </c>
      <c r="H15" s="25">
        <f t="shared" si="1"/>
        <v>1030.7692307692307</v>
      </c>
      <c r="I15" s="9"/>
      <c r="J15" s="9"/>
      <c r="K15" s="9"/>
      <c r="L15" s="3"/>
    </row>
    <row r="16" spans="2:12" s="8" customFormat="1" x14ac:dyDescent="0.35">
      <c r="B16" s="21" t="s">
        <v>9</v>
      </c>
      <c r="C16" s="80">
        <v>15</v>
      </c>
      <c r="D16" s="80">
        <v>0</v>
      </c>
      <c r="E16" s="78">
        <v>1</v>
      </c>
      <c r="F16" s="79">
        <v>33000</v>
      </c>
      <c r="G16" s="24">
        <f t="shared" si="0"/>
        <v>33000</v>
      </c>
      <c r="H16" s="25">
        <f t="shared" si="1"/>
        <v>507.69230769230768</v>
      </c>
      <c r="I16" s="9"/>
      <c r="J16" s="9"/>
      <c r="K16" s="9"/>
      <c r="L16" s="3"/>
    </row>
    <row r="17" spans="2:12" s="8" customFormat="1" x14ac:dyDescent="0.35">
      <c r="B17" s="21" t="s">
        <v>35</v>
      </c>
      <c r="C17" s="80">
        <v>15</v>
      </c>
      <c r="D17" s="80">
        <v>0</v>
      </c>
      <c r="E17" s="78">
        <v>1</v>
      </c>
      <c r="F17" s="79">
        <v>20000</v>
      </c>
      <c r="G17" s="24">
        <f t="shared" si="0"/>
        <v>20000</v>
      </c>
      <c r="H17" s="25">
        <f t="shared" si="1"/>
        <v>307.69230769230768</v>
      </c>
      <c r="I17" s="9"/>
      <c r="J17" s="9"/>
      <c r="K17" s="9"/>
      <c r="L17" s="3"/>
    </row>
    <row r="18" spans="2:12" s="8" customFormat="1" ht="16.5" x14ac:dyDescent="0.35">
      <c r="B18" s="21" t="s">
        <v>59</v>
      </c>
      <c r="C18" s="80">
        <v>20</v>
      </c>
      <c r="D18" s="80">
        <v>0</v>
      </c>
      <c r="E18" s="78">
        <v>1</v>
      </c>
      <c r="F18" s="79">
        <v>53000</v>
      </c>
      <c r="G18" s="24">
        <f t="shared" si="0"/>
        <v>53000</v>
      </c>
      <c r="H18" s="25">
        <f t="shared" si="1"/>
        <v>815.38461538461536</v>
      </c>
      <c r="I18" s="9"/>
      <c r="J18" s="9"/>
      <c r="L18" s="3"/>
    </row>
    <row r="19" spans="2:12" s="8" customFormat="1" x14ac:dyDescent="0.35">
      <c r="B19" s="21" t="str">
        <f>IF(G5="SMS Plus","Soil Moisture Sensors",IF(AND(G5="Checkbook"),"",""))</f>
        <v/>
      </c>
      <c r="C19" s="80" t="str">
        <f>IF($B$19="Soil Moisture Sensors",(6)," ")</f>
        <v xml:space="preserve"> </v>
      </c>
      <c r="D19" s="80" t="str">
        <f>IF($B$19="Soil Moisture Sensors",(0)," ")</f>
        <v xml:space="preserve"> </v>
      </c>
      <c r="E19" s="80" t="str">
        <f>IF($B$19="Soil Moisture Sensors",(1)," ")</f>
        <v xml:space="preserve"> </v>
      </c>
      <c r="F19" s="79" t="str">
        <f>IF($B$19="Soil Moisture Sensors",(600)," ")</f>
        <v xml:space="preserve"> </v>
      </c>
      <c r="G19" s="24" t="str">
        <f>IF($B$19="Soil Moisture Sensors",(E19*F19)," ")</f>
        <v xml:space="preserve"> </v>
      </c>
      <c r="H19" s="25" t="str">
        <f>IF($B$19="Soil Moisture Sensors",(G19/$G$6)," ")</f>
        <v xml:space="preserve"> </v>
      </c>
      <c r="I19" s="9"/>
      <c r="J19" s="9"/>
      <c r="L19" s="3"/>
    </row>
    <row r="20" spans="2:12" s="8" customFormat="1" ht="15" thickBot="1" x14ac:dyDescent="0.4">
      <c r="B20" s="26" t="str">
        <f>IF(G5="SMS Plus","Base Station",IF(AND(G5="Checkbook"),"",""))</f>
        <v/>
      </c>
      <c r="C20" s="81" t="str">
        <f>IF($B$20="Base Station",(6)," ")</f>
        <v xml:space="preserve"> </v>
      </c>
      <c r="D20" s="81" t="str">
        <f>IF($B$20="Base Station",(0)," ")</f>
        <v xml:space="preserve"> </v>
      </c>
      <c r="E20" s="81" t="str">
        <f>IF($B$20="Base Station",(1)," ")</f>
        <v xml:space="preserve"> </v>
      </c>
      <c r="F20" s="79" t="str">
        <f>IF($B$20="Base Station",(2000)," ")</f>
        <v xml:space="preserve"> </v>
      </c>
      <c r="G20" s="24" t="str">
        <f>IF($B$20="Base Station",(E20*F20/4)," ")</f>
        <v xml:space="preserve"> </v>
      </c>
      <c r="H20" s="25" t="str">
        <f>IF($B$20="Base Station",(G20/$G$6)," ")</f>
        <v xml:space="preserve"> </v>
      </c>
      <c r="I20" s="9"/>
      <c r="J20" s="9"/>
      <c r="L20" s="3"/>
    </row>
    <row r="21" spans="2:12" s="8" customFormat="1" ht="15" thickBot="1" x14ac:dyDescent="0.4">
      <c r="B21" s="27" t="s">
        <v>34</v>
      </c>
      <c r="C21" s="28"/>
      <c r="D21" s="29"/>
      <c r="E21" s="30"/>
      <c r="F21" s="30"/>
      <c r="G21" s="31">
        <f>SUM(G14:G20)</f>
        <v>176875</v>
      </c>
      <c r="H21" s="32">
        <f>SUM(H14:H20)</f>
        <v>2721.1538461538457</v>
      </c>
      <c r="J21" s="33"/>
    </row>
    <row r="22" spans="2:12" s="8" customFormat="1" x14ac:dyDescent="0.35">
      <c r="B22" s="34"/>
      <c r="C22" s="34"/>
      <c r="D22" s="34"/>
      <c r="E22" s="13"/>
      <c r="F22" s="13"/>
      <c r="G22" s="13"/>
      <c r="H22" s="13"/>
      <c r="I22" s="24"/>
      <c r="J22" s="24"/>
    </row>
    <row r="23" spans="2:12" s="8" customFormat="1" ht="15" thickBot="1" x14ac:dyDescent="0.4">
      <c r="B23" s="35" t="s">
        <v>7</v>
      </c>
      <c r="C23" s="35"/>
      <c r="D23" s="35"/>
      <c r="E23" s="36"/>
      <c r="F23" s="36"/>
      <c r="G23" s="36"/>
      <c r="H23" s="13"/>
      <c r="I23" s="24"/>
      <c r="J23" s="24"/>
    </row>
    <row r="24" spans="2:12" s="8" customFormat="1" x14ac:dyDescent="0.35">
      <c r="B24" s="37"/>
      <c r="C24" s="38"/>
      <c r="D24" s="39" t="s">
        <v>46</v>
      </c>
      <c r="E24" s="39" t="s">
        <v>47</v>
      </c>
      <c r="F24" s="39" t="s">
        <v>48</v>
      </c>
      <c r="G24" s="40" t="s">
        <v>7</v>
      </c>
      <c r="H24" s="41" t="s">
        <v>19</v>
      </c>
      <c r="I24" s="13"/>
      <c r="J24" s="13"/>
    </row>
    <row r="25" spans="2:12" s="8" customFormat="1" ht="15" thickBot="1" x14ac:dyDescent="0.4">
      <c r="B25" s="42"/>
      <c r="C25" s="36"/>
      <c r="D25" s="43"/>
      <c r="E25" s="82">
        <v>0.08</v>
      </c>
      <c r="F25" s="82">
        <v>2.5000000000000001E-2</v>
      </c>
      <c r="G25" s="44"/>
      <c r="H25" s="45" t="s">
        <v>20</v>
      </c>
      <c r="I25" s="13"/>
      <c r="J25" s="13"/>
    </row>
    <row r="26" spans="2:12" s="8" customFormat="1" x14ac:dyDescent="0.35">
      <c r="B26" s="21" t="s">
        <v>11</v>
      </c>
      <c r="C26" s="13"/>
      <c r="D26" s="24">
        <f>(G14-D14)/C14</f>
        <v>193.75</v>
      </c>
      <c r="E26" s="24">
        <f>(((G14+D14)/2))*$E$25</f>
        <v>155</v>
      </c>
      <c r="F26" s="24">
        <f>(((G14+D14)/2))*$F$25</f>
        <v>48.4375</v>
      </c>
      <c r="G26" s="24">
        <f>SUM(D26:F26)</f>
        <v>397.1875</v>
      </c>
      <c r="H26" s="46">
        <f t="shared" ref="H26:H30" si="2">G26/$G$6</f>
        <v>6.1105769230769234</v>
      </c>
      <c r="I26" s="13"/>
      <c r="J26" s="13"/>
    </row>
    <row r="27" spans="2:12" s="8" customFormat="1" x14ac:dyDescent="0.35">
      <c r="B27" s="47" t="s">
        <v>10</v>
      </c>
      <c r="C27" s="13"/>
      <c r="D27" s="24">
        <f>(G15-D15)/C15</f>
        <v>3350</v>
      </c>
      <c r="E27" s="24">
        <f>(((G15+D15)/2))*$E$25</f>
        <v>2680</v>
      </c>
      <c r="F27" s="24">
        <f>(((G15+D15)/2))*$F$25</f>
        <v>837.5</v>
      </c>
      <c r="G27" s="24">
        <f t="shared" ref="G27:G30" si="3">SUM(D27:F27)</f>
        <v>6867.5</v>
      </c>
      <c r="H27" s="25">
        <f t="shared" si="2"/>
        <v>105.65384615384616</v>
      </c>
      <c r="I27" s="13"/>
      <c r="J27" s="13"/>
      <c r="K27" s="13"/>
      <c r="L27" s="13"/>
    </row>
    <row r="28" spans="2:12" s="8" customFormat="1" x14ac:dyDescent="0.35">
      <c r="B28" s="47" t="str">
        <f>B16</f>
        <v>Pump</v>
      </c>
      <c r="C28" s="13"/>
      <c r="D28" s="24">
        <f>(G16-D16)/C16</f>
        <v>2200</v>
      </c>
      <c r="E28" s="24">
        <f>((G16+D16)/2)*$E$25</f>
        <v>1320</v>
      </c>
      <c r="F28" s="24">
        <f>(((G16+D16)/2))*$F$25</f>
        <v>412.5</v>
      </c>
      <c r="G28" s="24">
        <f t="shared" si="3"/>
        <v>3932.5</v>
      </c>
      <c r="H28" s="25">
        <f t="shared" si="2"/>
        <v>60.5</v>
      </c>
      <c r="I28" s="13"/>
      <c r="J28" s="13"/>
      <c r="K28" s="13"/>
      <c r="L28" s="13"/>
    </row>
    <row r="29" spans="2:12" s="8" customFormat="1" x14ac:dyDescent="0.35">
      <c r="B29" s="47" t="str">
        <f>B17</f>
        <v>Gearhead System</v>
      </c>
      <c r="C29" s="13"/>
      <c r="D29" s="24">
        <f>(G17-D17)/C17</f>
        <v>1333.3333333333333</v>
      </c>
      <c r="E29" s="24">
        <f>((G17+D17)/2)*$E$25</f>
        <v>800</v>
      </c>
      <c r="F29" s="24">
        <f>(((G17+D17)/2))*$F$25</f>
        <v>250</v>
      </c>
      <c r="G29" s="24">
        <f t="shared" si="3"/>
        <v>2383.333333333333</v>
      </c>
      <c r="H29" s="25">
        <f t="shared" si="2"/>
        <v>36.666666666666664</v>
      </c>
      <c r="I29" s="13"/>
      <c r="J29" s="13"/>
      <c r="K29" s="13"/>
      <c r="L29" s="13"/>
    </row>
    <row r="30" spans="2:12" s="8" customFormat="1" x14ac:dyDescent="0.35">
      <c r="B30" s="47" t="s">
        <v>8</v>
      </c>
      <c r="C30" s="13"/>
      <c r="D30" s="24">
        <f t="shared" ref="D30" si="4">(G18-D18)/C18</f>
        <v>2650</v>
      </c>
      <c r="E30" s="24">
        <f>((G18+D18)/2)*$E$25</f>
        <v>2120</v>
      </c>
      <c r="F30" s="24">
        <f>(((G18+D18)/2))*$F$25</f>
        <v>662.5</v>
      </c>
      <c r="G30" s="24">
        <f t="shared" si="3"/>
        <v>5432.5</v>
      </c>
      <c r="H30" s="25">
        <f t="shared" si="2"/>
        <v>83.57692307692308</v>
      </c>
      <c r="I30" s="13"/>
      <c r="J30" s="13"/>
      <c r="K30" s="13"/>
      <c r="L30" s="13"/>
    </row>
    <row r="31" spans="2:12" s="8" customFormat="1" x14ac:dyDescent="0.35">
      <c r="B31" s="47" t="str">
        <f>B19</f>
        <v/>
      </c>
      <c r="C31" s="13"/>
      <c r="D31" s="24" t="str">
        <f>IF($B$31="Soil Moisture Sensors",((G19-D19)/C19)," ")</f>
        <v xml:space="preserve"> </v>
      </c>
      <c r="E31" s="24" t="str">
        <f>IF($B$31="Soil Moisture Sensors",((G19+D19)/2)*$E$25," ")</f>
        <v xml:space="preserve"> </v>
      </c>
      <c r="F31" s="24" t="str">
        <f>IF($B$31="Soil Moisture Sensors",(((G19+D19)/2))*$F$25," ")</f>
        <v xml:space="preserve"> </v>
      </c>
      <c r="G31" s="24" t="str">
        <f>IF($B$19="Soil Moisture Sensors",SUM(D31:F31)," ")</f>
        <v xml:space="preserve"> </v>
      </c>
      <c r="H31" s="25" t="str">
        <f>IF($B$19="Soil Moisture Sensors",G31/$G$6," ")</f>
        <v xml:space="preserve"> </v>
      </c>
      <c r="I31" s="13"/>
      <c r="J31" s="13"/>
      <c r="K31" s="13"/>
      <c r="L31" s="13"/>
    </row>
    <row r="32" spans="2:12" s="8" customFormat="1" ht="15" thickBot="1" x14ac:dyDescent="0.4">
      <c r="B32" s="42" t="str">
        <f>B20</f>
        <v/>
      </c>
      <c r="C32" s="36"/>
      <c r="D32" s="24" t="str">
        <f>IF($B$31="Soil Moisture Sensors",((G20-D20)/C20)," ")</f>
        <v xml:space="preserve"> </v>
      </c>
      <c r="E32" s="24" t="str">
        <f>IF($B$32="Base Station",((G20+D20)/2)*$E$25," ")</f>
        <v xml:space="preserve"> </v>
      </c>
      <c r="F32" s="24" t="str">
        <f>IF($B$32="Base Station",(((G20+D20)/2))*$F$25," ")</f>
        <v xml:space="preserve"> </v>
      </c>
      <c r="G32" s="24" t="str">
        <f>IF($B$32="Base Station",SUM(D32:F32)," ")</f>
        <v xml:space="preserve"> </v>
      </c>
      <c r="H32" s="25" t="str">
        <f>IF($B$32="Base Station",G32/$G$6," ")</f>
        <v xml:space="preserve"> </v>
      </c>
      <c r="I32" s="13"/>
      <c r="J32" s="13"/>
      <c r="K32" s="13"/>
      <c r="L32" s="13"/>
    </row>
    <row r="33" spans="2:12" s="8" customFormat="1" ht="15" thickBot="1" x14ac:dyDescent="0.4">
      <c r="B33" s="48" t="s">
        <v>6</v>
      </c>
      <c r="C33" s="30"/>
      <c r="D33" s="30"/>
      <c r="E33" s="30"/>
      <c r="F33" s="49"/>
      <c r="G33" s="31">
        <f>SUM(G26:G32)</f>
        <v>19013.020833333332</v>
      </c>
      <c r="H33" s="32">
        <f>SUM(H26:H32)</f>
        <v>292.50801282051282</v>
      </c>
      <c r="I33" s="13"/>
      <c r="J33" s="13"/>
      <c r="K33" s="13"/>
      <c r="L33" s="13"/>
    </row>
    <row r="34" spans="2:12" s="8" customFormat="1" x14ac:dyDescent="0.35">
      <c r="B34" s="34"/>
      <c r="C34" s="34"/>
      <c r="D34" s="34"/>
      <c r="E34" s="13"/>
      <c r="F34" s="13"/>
      <c r="G34" s="13"/>
      <c r="H34" s="13"/>
      <c r="I34" s="24"/>
      <c r="J34" s="24"/>
      <c r="K34" s="24"/>
      <c r="L34" s="24"/>
    </row>
    <row r="35" spans="2:12" s="8" customFormat="1" ht="15" thickBot="1" x14ac:dyDescent="0.4">
      <c r="B35" s="35" t="s">
        <v>5</v>
      </c>
      <c r="C35" s="35"/>
      <c r="D35" s="35"/>
      <c r="E35" s="50"/>
      <c r="F35" s="50"/>
      <c r="G35" s="50"/>
      <c r="H35" s="51"/>
      <c r="I35" s="51"/>
      <c r="J35" s="51"/>
      <c r="K35" s="51"/>
      <c r="L35" s="52"/>
    </row>
    <row r="36" spans="2:12" s="8" customFormat="1" x14ac:dyDescent="0.35">
      <c r="B36" s="53"/>
      <c r="C36" s="38"/>
      <c r="F36" s="54" t="s">
        <v>5</v>
      </c>
      <c r="G36" s="54" t="s">
        <v>5</v>
      </c>
      <c r="H36" s="55" t="s">
        <v>5</v>
      </c>
      <c r="I36" s="13"/>
      <c r="J36" s="13"/>
      <c r="K36" s="13"/>
      <c r="L36" s="13"/>
    </row>
    <row r="37" spans="2:12" s="8" customFormat="1" ht="15" thickBot="1" x14ac:dyDescent="0.4">
      <c r="B37" s="26"/>
      <c r="C37" s="36"/>
      <c r="D37" s="56"/>
      <c r="E37" s="57"/>
      <c r="F37" s="57"/>
      <c r="G37" s="44" t="s">
        <v>38</v>
      </c>
      <c r="H37" s="58" t="s">
        <v>3</v>
      </c>
    </row>
    <row r="38" spans="2:12" s="8" customFormat="1" x14ac:dyDescent="0.35">
      <c r="B38" s="21" t="s">
        <v>49</v>
      </c>
      <c r="C38" s="13"/>
      <c r="D38" s="13"/>
      <c r="E38" s="24"/>
      <c r="F38" s="24">
        <f>IF(G5="SMS Plus", G14*'Cost Factors'!C3+G15*'Cost Factors'!C4+G16*'Cost Factors'!C5+G17*'Cost Factors'!C6+G18*'Cost Factors'!C7+G19*'Cost Factors'!C8+G20*'Cost Factors'!C9, G14*'Cost Factors'!C3+G15*'Cost Factors'!C4+G16*'Cost Factors'!C5+G17*'Cost Factors'!C6+G18*'Cost Factors'!C7)</f>
        <v>3833</v>
      </c>
      <c r="G38" s="24">
        <f>F38/$G$6</f>
        <v>58.969230769230769</v>
      </c>
      <c r="H38" s="25">
        <f>G38/$G$9</f>
        <v>3.6855769230769231</v>
      </c>
    </row>
    <row r="39" spans="2:12" s="8" customFormat="1" x14ac:dyDescent="0.35">
      <c r="B39" s="21"/>
      <c r="C39" s="13"/>
      <c r="D39" s="73" t="s">
        <v>4</v>
      </c>
      <c r="E39" s="33" t="s">
        <v>36</v>
      </c>
      <c r="F39" s="33"/>
      <c r="G39" s="71"/>
      <c r="H39" s="72"/>
    </row>
    <row r="40" spans="2:12" s="8" customFormat="1" x14ac:dyDescent="0.35">
      <c r="B40" s="21" t="s">
        <v>45</v>
      </c>
      <c r="C40" s="13"/>
      <c r="D40" s="78">
        <v>60</v>
      </c>
      <c r="E40" s="79">
        <v>3.05</v>
      </c>
      <c r="F40" s="24">
        <f>D40*E40*$G$7*$G$9/G8*0.044</f>
        <v>5604.192</v>
      </c>
      <c r="G40" s="24">
        <f>F40/$G$6</f>
        <v>86.218338461538465</v>
      </c>
      <c r="H40" s="25">
        <f>G40/$G$9</f>
        <v>5.3886461538461541</v>
      </c>
    </row>
    <row r="41" spans="2:12" s="8" customFormat="1" x14ac:dyDescent="0.35">
      <c r="B41" s="21" t="s">
        <v>44</v>
      </c>
      <c r="C41" s="13"/>
      <c r="D41" s="78">
        <v>25</v>
      </c>
      <c r="E41" s="79">
        <v>3.05</v>
      </c>
      <c r="F41" s="24">
        <f>D41*E41*$G$7*$G$9/G8*0.044</f>
        <v>2335.08</v>
      </c>
      <c r="G41" s="24">
        <f>F41/$G$6</f>
        <v>35.924307692307693</v>
      </c>
      <c r="H41" s="25">
        <f t="shared" ref="H41" si="5">G41/$G$9</f>
        <v>2.2452692307692308</v>
      </c>
    </row>
    <row r="42" spans="2:12" s="8" customFormat="1" x14ac:dyDescent="0.35">
      <c r="B42" s="21"/>
      <c r="C42" s="13"/>
      <c r="D42" s="22"/>
      <c r="E42" s="23"/>
      <c r="F42" s="24"/>
      <c r="G42" s="24"/>
      <c r="H42" s="25"/>
    </row>
    <row r="43" spans="2:12" s="8" customFormat="1" x14ac:dyDescent="0.35">
      <c r="B43" s="21"/>
      <c r="C43" s="13"/>
      <c r="D43" s="70" t="s">
        <v>2</v>
      </c>
      <c r="E43" s="70" t="s">
        <v>1</v>
      </c>
      <c r="F43" s="24"/>
      <c r="G43" s="24"/>
      <c r="H43" s="25"/>
    </row>
    <row r="44" spans="2:12" s="8" customFormat="1" x14ac:dyDescent="0.35">
      <c r="B44" s="21" t="s">
        <v>42</v>
      </c>
      <c r="C44" s="13"/>
      <c r="D44" s="83">
        <f>17/60</f>
        <v>0.28333333333333333</v>
      </c>
      <c r="E44" s="79">
        <v>13.25</v>
      </c>
      <c r="F44" s="24">
        <f>D44*E44*$G$9</f>
        <v>60.066666666666663</v>
      </c>
      <c r="G44" s="24">
        <f>F44/$G$6</f>
        <v>0.92410256410256408</v>
      </c>
      <c r="H44" s="25">
        <f>G44/$G$9</f>
        <v>5.7756410256410255E-2</v>
      </c>
    </row>
    <row r="45" spans="2:12" s="8" customFormat="1" ht="15" thickBot="1" x14ac:dyDescent="0.4">
      <c r="B45" s="26" t="s">
        <v>43</v>
      </c>
      <c r="C45" s="36"/>
      <c r="D45" s="84">
        <f>IF(G5="SMS Plus",IF(AND(G4="Cotton"),(18.75),IF(AND(G4="Peanut"),(17.5),IF(AND(G4="Corn"),(15)))),IF(AND(G5="Checkbook"),IF(AND(G4="Cotton"),(12.5),IF(AND(G4="Peanut"),(11.67),IF(AND(G4="Corn"),(10)))),IF(AND(G5="App Based"),IF(AND(G4="Cotton"),(12.5),IF(AND(G4="Peanut"),(11.67),IF(AND(G4="Corn"),(10)))))))</f>
        <v>10</v>
      </c>
      <c r="E45" s="85">
        <v>34.21</v>
      </c>
      <c r="F45" s="59">
        <f>D45*E45</f>
        <v>342.1</v>
      </c>
      <c r="G45" s="59">
        <f>F45/$G$6</f>
        <v>5.2630769230769232</v>
      </c>
      <c r="H45" s="25">
        <f>G45/$G$9</f>
        <v>0.3289423076923077</v>
      </c>
    </row>
    <row r="46" spans="2:12" s="8" customFormat="1" ht="15" thickBot="1" x14ac:dyDescent="0.4">
      <c r="B46" s="60" t="s">
        <v>0</v>
      </c>
      <c r="C46" s="30"/>
      <c r="D46" s="30"/>
      <c r="E46" s="30"/>
      <c r="F46" s="31">
        <f>SUM(F38:F45)</f>
        <v>12174.438666666667</v>
      </c>
      <c r="G46" s="31">
        <f>SUM(G38:G45)</f>
        <v>187.29905641025641</v>
      </c>
      <c r="H46" s="32">
        <f>SUM(H38:H45)</f>
        <v>11.706191025641026</v>
      </c>
    </row>
    <row r="47" spans="2:12" s="8" customFormat="1" x14ac:dyDescent="0.35">
      <c r="B47" s="34"/>
      <c r="C47" s="13"/>
      <c r="D47" s="13"/>
      <c r="E47" s="13"/>
      <c r="F47" s="33"/>
      <c r="G47" s="33"/>
      <c r="H47" s="33"/>
    </row>
    <row r="48" spans="2:12" s="8" customFormat="1" ht="15" thickBot="1" x14ac:dyDescent="0.4">
      <c r="B48" s="34" t="s">
        <v>27</v>
      </c>
      <c r="C48" s="13"/>
      <c r="D48" s="13"/>
      <c r="E48" s="13"/>
      <c r="F48" s="33"/>
      <c r="G48" s="33"/>
      <c r="H48" s="33"/>
    </row>
    <row r="49" spans="2:12" s="8" customFormat="1" ht="15" thickBot="1" x14ac:dyDescent="0.4">
      <c r="B49" s="61"/>
      <c r="C49" s="30"/>
      <c r="D49" s="30"/>
      <c r="E49" s="30"/>
      <c r="F49" s="64" t="s">
        <v>52</v>
      </c>
      <c r="G49" s="62" t="s">
        <v>39</v>
      </c>
      <c r="H49" s="65" t="s">
        <v>26</v>
      </c>
    </row>
    <row r="50" spans="2:12" s="8" customFormat="1" ht="15" thickBot="1" x14ac:dyDescent="0.4">
      <c r="B50" s="66" t="s">
        <v>6</v>
      </c>
      <c r="C50" s="30"/>
      <c r="D50" s="30"/>
      <c r="E50" s="30"/>
      <c r="F50" s="31">
        <f>G33</f>
        <v>19013.020833333332</v>
      </c>
      <c r="G50" s="31">
        <f>H33</f>
        <v>292.50801282051282</v>
      </c>
      <c r="H50" s="67"/>
    </row>
    <row r="51" spans="2:12" s="8" customFormat="1" ht="15" thickBot="1" x14ac:dyDescent="0.4">
      <c r="B51" s="66" t="s">
        <v>0</v>
      </c>
      <c r="C51" s="30"/>
      <c r="D51" s="30"/>
      <c r="E51" s="30"/>
      <c r="F51" s="31">
        <f>F46</f>
        <v>12174.438666666667</v>
      </c>
      <c r="G51" s="31">
        <f>G46</f>
        <v>187.29905641025641</v>
      </c>
      <c r="H51" s="68">
        <f>H46</f>
        <v>11.706191025641026</v>
      </c>
    </row>
    <row r="52" spans="2:12" s="8" customFormat="1" ht="15" thickBot="1" x14ac:dyDescent="0.4">
      <c r="B52" s="60" t="s">
        <v>51</v>
      </c>
      <c r="C52" s="30"/>
      <c r="D52" s="30"/>
      <c r="E52" s="30"/>
      <c r="F52" s="31">
        <f>SUM(F50:F51)</f>
        <v>31187.459499999997</v>
      </c>
      <c r="G52" s="31">
        <f>SUM(G50:G51)</f>
        <v>479.80706923076923</v>
      </c>
      <c r="H52" s="69"/>
    </row>
    <row r="54" spans="2:12" x14ac:dyDescent="0.35">
      <c r="B54" s="95" t="s">
        <v>53</v>
      </c>
      <c r="C54" s="95"/>
      <c r="D54" s="95"/>
      <c r="E54" s="95"/>
      <c r="F54" s="95"/>
      <c r="G54" s="95"/>
      <c r="H54" s="95"/>
    </row>
    <row r="55" spans="2:12" x14ac:dyDescent="0.35">
      <c r="B55" s="96"/>
      <c r="C55" s="96"/>
      <c r="D55" s="96"/>
      <c r="E55" s="96"/>
      <c r="F55" s="96"/>
      <c r="G55" s="96"/>
      <c r="H55" s="96"/>
    </row>
    <row r="56" spans="2:12" x14ac:dyDescent="0.35">
      <c r="B56" s="63"/>
      <c r="C56" s="63"/>
      <c r="D56" s="63"/>
      <c r="E56" s="63"/>
      <c r="F56" s="63"/>
      <c r="G56" s="63"/>
      <c r="H56" s="63"/>
    </row>
    <row r="57" spans="2:12" x14ac:dyDescent="0.35">
      <c r="B57" s="101" t="s">
        <v>40</v>
      </c>
      <c r="C57" s="101"/>
      <c r="D57" s="101"/>
      <c r="E57" s="101"/>
      <c r="F57" s="101"/>
      <c r="G57" s="101"/>
      <c r="H57" s="101"/>
    </row>
    <row r="58" spans="2:12" x14ac:dyDescent="0.35">
      <c r="B58" s="101"/>
      <c r="C58" s="101"/>
      <c r="D58" s="101"/>
      <c r="E58" s="101"/>
      <c r="F58" s="101"/>
      <c r="G58" s="101"/>
      <c r="H58" s="101"/>
    </row>
    <row r="59" spans="2:12" ht="9" customHeight="1" x14ac:dyDescent="0.35">
      <c r="B59" s="101"/>
      <c r="C59" s="101"/>
      <c r="D59" s="101"/>
      <c r="E59" s="101"/>
      <c r="F59" s="101"/>
      <c r="G59" s="101"/>
      <c r="H59" s="101"/>
    </row>
    <row r="60" spans="2:12" ht="9" customHeight="1" x14ac:dyDescent="0.35">
      <c r="B60" s="101" t="s">
        <v>62</v>
      </c>
      <c r="C60" s="101"/>
      <c r="D60" s="101"/>
      <c r="E60" s="101"/>
      <c r="F60" s="101"/>
      <c r="G60" s="101"/>
      <c r="H60" s="101"/>
    </row>
    <row r="61" spans="2:12" ht="19" customHeight="1" x14ac:dyDescent="0.35">
      <c r="B61" s="101"/>
      <c r="C61" s="101"/>
      <c r="D61" s="101"/>
      <c r="E61" s="101"/>
      <c r="F61" s="101"/>
      <c r="G61" s="101"/>
      <c r="H61" s="101"/>
    </row>
    <row r="62" spans="2:12" ht="14.5" customHeight="1" x14ac:dyDescent="0.35">
      <c r="B62" s="101" t="s">
        <v>64</v>
      </c>
      <c r="C62" s="101"/>
      <c r="D62" s="101"/>
      <c r="E62" s="101"/>
      <c r="F62" s="101"/>
      <c r="G62" s="101"/>
      <c r="H62" s="101"/>
    </row>
    <row r="63" spans="2:12" x14ac:dyDescent="0.35">
      <c r="B63" s="101"/>
      <c r="C63" s="101"/>
      <c r="D63" s="101"/>
      <c r="E63" s="101"/>
      <c r="F63" s="101"/>
      <c r="G63" s="101"/>
      <c r="H63" s="101"/>
    </row>
    <row r="64" spans="2:12" ht="23" customHeight="1" x14ac:dyDescent="0.35">
      <c r="B64" s="89" t="s">
        <v>65</v>
      </c>
      <c r="C64" s="89"/>
      <c r="D64" s="89"/>
      <c r="E64" s="89"/>
      <c r="F64" s="89"/>
      <c r="G64" s="89"/>
      <c r="H64" s="89"/>
      <c r="I64" s="6"/>
      <c r="J64" s="6"/>
      <c r="K64" s="6"/>
      <c r="L64" s="6"/>
    </row>
    <row r="65" spans="2:12" x14ac:dyDescent="0.35">
      <c r="B65" s="90"/>
      <c r="C65" s="90"/>
      <c r="D65" s="90"/>
      <c r="E65" s="90"/>
      <c r="F65" s="90"/>
      <c r="G65" s="90"/>
      <c r="H65" s="90"/>
    </row>
    <row r="66" spans="2:12" x14ac:dyDescent="0.35">
      <c r="B66" s="90"/>
      <c r="C66" s="90"/>
      <c r="D66" s="90"/>
      <c r="E66" s="90"/>
      <c r="F66" s="90"/>
      <c r="G66" s="90"/>
      <c r="H66" s="90"/>
    </row>
    <row r="67" spans="2:12" x14ac:dyDescent="0.35">
      <c r="B67" s="89"/>
      <c r="C67" s="89"/>
      <c r="D67" s="89"/>
      <c r="E67" s="89"/>
      <c r="F67" s="89"/>
      <c r="G67" s="89"/>
      <c r="H67" s="89"/>
      <c r="I67" s="6"/>
      <c r="J67" s="6"/>
      <c r="K67" s="6"/>
      <c r="L67" s="6"/>
    </row>
  </sheetData>
  <mergeCells count="18">
    <mergeCell ref="B67:H67"/>
    <mergeCell ref="B64:H64"/>
    <mergeCell ref="B65:H65"/>
    <mergeCell ref="B66:H66"/>
    <mergeCell ref="B4:F4"/>
    <mergeCell ref="G4:H4"/>
    <mergeCell ref="B54:H55"/>
    <mergeCell ref="B9:F9"/>
    <mergeCell ref="G5:H5"/>
    <mergeCell ref="B57:H59"/>
    <mergeCell ref="B62:H63"/>
    <mergeCell ref="B60:H61"/>
    <mergeCell ref="B8:F8"/>
    <mergeCell ref="B1:H1"/>
    <mergeCell ref="B7:F7"/>
    <mergeCell ref="B5:F5"/>
    <mergeCell ref="B2:H2"/>
    <mergeCell ref="B6:F6"/>
  </mergeCells>
  <dataValidations count="2">
    <dataValidation type="list" allowBlank="1" showInputMessage="1" showErrorMessage="1" sqref="G5">
      <formula1>Sched3</formula1>
    </dataValidation>
    <dataValidation type="list" allowBlank="1" showInputMessage="1" showErrorMessage="1" sqref="G4:H4">
      <formula1>Crop</formula1>
    </dataValidation>
  </dataValidations>
  <pageMargins left="0.7" right="0.7" top="0.75" bottom="0.75" header="0.3" footer="0.3"/>
  <pageSetup scale="69" orientation="portrait" horizontalDpi="300" verticalDpi="300" r:id="rId1"/>
  <headerFooter>
    <oddFooter>&amp;LAg and Applied Economics, 12/2020&amp;R&amp;G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election activeCell="J15" sqref="J15"/>
    </sheetView>
  </sheetViews>
  <sheetFormatPr defaultRowHeight="14.5" x14ac:dyDescent="0.35"/>
  <cols>
    <col min="2" max="2" width="23.90625" bestFit="1" customWidth="1"/>
    <col min="3" max="3" width="14" customWidth="1"/>
  </cols>
  <sheetData>
    <row r="2" spans="2:3" ht="18.5" x14ac:dyDescent="0.45">
      <c r="C2" s="5" t="s">
        <v>16</v>
      </c>
    </row>
    <row r="3" spans="2:3" ht="18.5" x14ac:dyDescent="0.45">
      <c r="B3" s="1" t="s">
        <v>11</v>
      </c>
      <c r="C3" s="4">
        <v>0</v>
      </c>
    </row>
    <row r="4" spans="2:3" ht="18.5" x14ac:dyDescent="0.45">
      <c r="B4" s="1" t="s">
        <v>10</v>
      </c>
      <c r="C4" s="4">
        <v>5.0000000000000001E-3</v>
      </c>
    </row>
    <row r="5" spans="2:3" ht="18.5" x14ac:dyDescent="0.45">
      <c r="B5" s="1" t="s">
        <v>9</v>
      </c>
      <c r="C5" s="4">
        <v>6.6000000000000003E-2</v>
      </c>
    </row>
    <row r="6" spans="2:3" ht="18.5" x14ac:dyDescent="0.45">
      <c r="B6" s="1" t="s">
        <v>35</v>
      </c>
      <c r="C6" s="4">
        <v>6.6000000000000003E-2</v>
      </c>
    </row>
    <row r="7" spans="2:3" ht="18.5" x14ac:dyDescent="0.45">
      <c r="B7" s="1" t="s">
        <v>8</v>
      </c>
      <c r="C7" s="4">
        <v>0</v>
      </c>
    </row>
    <row r="8" spans="2:3" ht="18.5" x14ac:dyDescent="0.45">
      <c r="B8" s="7" t="s">
        <v>37</v>
      </c>
      <c r="C8" s="4">
        <v>0</v>
      </c>
    </row>
    <row r="9" spans="2:3" ht="18.5" x14ac:dyDescent="0.45">
      <c r="B9" s="2" t="s">
        <v>32</v>
      </c>
      <c r="C9" s="4">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
  <sheetViews>
    <sheetView workbookViewId="0">
      <selection activeCell="H21" sqref="H21"/>
    </sheetView>
  </sheetViews>
  <sheetFormatPr defaultRowHeight="14.5" x14ac:dyDescent="0.35"/>
  <sheetData>
    <row r="1" spans="2:2" x14ac:dyDescent="0.35">
      <c r="B1" t="s">
        <v>29</v>
      </c>
    </row>
    <row r="2" spans="2:2" x14ac:dyDescent="0.35">
      <c r="B2" t="s">
        <v>30</v>
      </c>
    </row>
    <row r="3" spans="2:2" x14ac:dyDescent="0.35">
      <c r="B3"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5" sqref="A5"/>
    </sheetView>
  </sheetViews>
  <sheetFormatPr defaultRowHeight="14.5" x14ac:dyDescent="0.35"/>
  <sheetData>
    <row r="1" spans="1:1" x14ac:dyDescent="0.35">
      <c r="A1" t="s">
        <v>23</v>
      </c>
    </row>
    <row r="2" spans="1:1" x14ac:dyDescent="0.35">
      <c r="A2" t="s">
        <v>24</v>
      </c>
    </row>
    <row r="3" spans="1:1" x14ac:dyDescent="0.35">
      <c r="A3" t="s">
        <v>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14674968E4EDC49BC762519B2C12477" ma:contentTypeVersion="10" ma:contentTypeDescription="Create a new document." ma:contentTypeScope="" ma:versionID="d5a7965ac965213258b7c23e1ac05852">
  <xsd:schema xmlns:xsd="http://www.w3.org/2001/XMLSchema" xmlns:xs="http://www.w3.org/2001/XMLSchema" xmlns:p="http://schemas.microsoft.com/office/2006/metadata/properties" xmlns:ns1="http://schemas.microsoft.com/sharepoint/v3" xmlns:ns3="ffb9740e-ff0d-4b6c-906c-ebebdc67e7cf" xmlns:ns4="e9af2f2d-498b-4454-9578-1ad3184f4ea3" targetNamespace="http://schemas.microsoft.com/office/2006/metadata/properties" ma:root="true" ma:fieldsID="abf26ed0efe6334dfbdfaccfea354963" ns1:_="" ns3:_="" ns4:_="">
    <xsd:import namespace="http://schemas.microsoft.com/sharepoint/v3"/>
    <xsd:import namespace="ffb9740e-ff0d-4b6c-906c-ebebdc67e7cf"/>
    <xsd:import namespace="e9af2f2d-498b-4454-9578-1ad3184f4ea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1:_ip_UnifiedCompliancePolicyProperties" minOccurs="0"/>
                <xsd:element ref="ns1:_ip_UnifiedCompliancePolicyUIAction" minOccurs="0"/>
                <xsd:element ref="ns4:MediaServiceAutoTag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b9740e-ff0d-4b6c-906c-ebebdc67e7c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af2f2d-498b-4454-9578-1ad3184f4ea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C5B1A2-0497-4A4C-9DB9-ACD580AD0EC2}">
  <ds:schemaRefs>
    <ds:schemaRef ds:uri="http://schemas.microsoft.com/sharepoint/v3/contenttype/forms"/>
  </ds:schemaRefs>
</ds:datastoreItem>
</file>

<file path=customXml/itemProps2.xml><?xml version="1.0" encoding="utf-8"?>
<ds:datastoreItem xmlns:ds="http://schemas.openxmlformats.org/officeDocument/2006/customXml" ds:itemID="{3FFC2A2B-FCAD-4190-8815-D299F8A5FDF1}">
  <ds:schemaRefs>
    <ds:schemaRef ds:uri="http://schemas.microsoft.com/office/infopath/2007/PartnerControls"/>
    <ds:schemaRef ds:uri="e9af2f2d-498b-4454-9578-1ad3184f4ea3"/>
    <ds:schemaRef ds:uri="http://schemas.microsoft.com/sharepoint/v3"/>
    <ds:schemaRef ds:uri="http://purl.org/dc/dcmitype/"/>
    <ds:schemaRef ds:uri="http://purl.org/dc/elements/1.1/"/>
    <ds:schemaRef ds:uri="ffb9740e-ff0d-4b6c-906c-ebebdc67e7cf"/>
    <ds:schemaRef ds:uri="http://schemas.microsoft.com/office/2006/documentManagement/types"/>
    <ds:schemaRef ds:uri="http://purl.org/dc/terms/"/>
    <ds:schemaRef ds:uri="http://schemas.openxmlformats.org/package/2006/metadata/core-properties"/>
    <ds:schemaRef ds:uri="http://www.w3.org/XML/1998/namespace"/>
    <ds:schemaRef ds:uri="http://schemas.microsoft.com/office/2006/metadata/properties"/>
  </ds:schemaRefs>
</ds:datastoreItem>
</file>

<file path=customXml/itemProps3.xml><?xml version="1.0" encoding="utf-8"?>
<ds:datastoreItem xmlns:ds="http://schemas.openxmlformats.org/officeDocument/2006/customXml" ds:itemID="{9DDDF442-39CC-45D9-AAD7-AE6A00116D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fb9740e-ff0d-4b6c-906c-ebebdc67e7cf"/>
    <ds:schemaRef ds:uri="e9af2f2d-498b-4454-9578-1ad3184f4e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5 Towers Diesel</vt:lpstr>
      <vt:lpstr>Cost Factors</vt:lpstr>
      <vt:lpstr>Sheet2</vt:lpstr>
      <vt:lpstr>Sheet1</vt:lpstr>
      <vt:lpstr>Crop</vt:lpstr>
      <vt:lpstr>'5 Towers Diesel'!Print_Area</vt:lpstr>
      <vt:lpstr>Sched3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ankul bhattari</dc:creator>
  <cp:lastModifiedBy>Yangxuan Liu</cp:lastModifiedBy>
  <cp:lastPrinted>2020-10-20T20:03:45Z</cp:lastPrinted>
  <dcterms:created xsi:type="dcterms:W3CDTF">2019-07-05T18:46:17Z</dcterms:created>
  <dcterms:modified xsi:type="dcterms:W3CDTF">2020-11-16T03:39:44Z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0x010100B14674968E4EDC49BC762519B2C12477</vt:lpwstr>
  </property>
</Properties>
</file>