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6555" windowHeight="15930" firstSheet="1" activeTab="1"/>
  </bookViews>
  <sheets>
    <sheet name="A" sheetId="1" state="hidden" r:id="rId1"/>
    <sheet name="Disclaimer" sheetId="2" r:id="rId2"/>
    <sheet name="Bud" sheetId="3" r:id="rId3"/>
    <sheet name="Yr1" sheetId="4" r:id="rId4"/>
    <sheet name="Yr2" sheetId="5" r:id="rId5"/>
    <sheet name="Yr3" sheetId="6" r:id="rId6"/>
    <sheet name="Chem" sheetId="7" r:id="rId7"/>
    <sheet name="Mach" sheetId="8" r:id="rId8"/>
    <sheet name="FxdCost" sheetId="9" r:id="rId9"/>
    <sheet name="Drip" sheetId="10" r:id="rId10"/>
    <sheet name="SSet" sheetId="11" r:id="rId11"/>
    <sheet name="Returns" sheetId="12" r:id="rId12"/>
    <sheet name="M" sheetId="13" r:id="rId13"/>
    <sheet name="N" sheetId="14" r:id="rId14"/>
  </sheets>
  <externalReferences>
    <externalReference r:id="rId17"/>
    <externalReference r:id="rId18"/>
    <externalReference r:id="rId19"/>
  </externalReferences>
  <definedNames>
    <definedName name="\0" localSheetId="1">#REF!</definedName>
    <definedName name="\A" localSheetId="1">#REF!</definedName>
    <definedName name="\AUTOEXEC">'Bud'!$X$141:$X$143</definedName>
    <definedName name="\C" localSheetId="1">#REF!</definedName>
    <definedName name="\C">'Bud'!$I$142:$I$182</definedName>
    <definedName name="\E" localSheetId="1">#REF!</definedName>
    <definedName name="\FLOW">'N'!$E$1:$E$4</definedName>
    <definedName name="\I" localSheetId="1">#REF!</definedName>
    <definedName name="\L" localSheetId="1">#REF!</definedName>
    <definedName name="\N" localSheetId="1">#REF!</definedName>
    <definedName name="\O" localSheetId="1">#REF!</definedName>
    <definedName name="\Q" localSheetId="1">#REF!</definedName>
    <definedName name="\S" localSheetId="1">#REF!</definedName>
    <definedName name="\T" localSheetId="1">#REF!</definedName>
    <definedName name="\T">'Bud'!$C$142:$C$182</definedName>
    <definedName name="\TOTAL">'N'!$B$1:$B$4</definedName>
    <definedName name="\V" localSheetId="1">#REF!</definedName>
    <definedName name="\V">'Bud'!$R$141:$R$181</definedName>
    <definedName name="\VARIABLE">'N'!$H$1:$H$4</definedName>
    <definedName name="\X" localSheetId="1">#REF!</definedName>
    <definedName name="\X">'Bud'!$F$142:$F$182</definedName>
    <definedName name="\Y" localSheetId="1">#REF!</definedName>
    <definedName name="\Y">'Bud'!$O$148:$O$188</definedName>
    <definedName name="\Z" localSheetId="1">#REF!</definedName>
    <definedName name="\Z">'Bud'!$U$141:$U$181</definedName>
    <definedName name="_xlfn.SINGLE" hidden="1">#NAME?</definedName>
    <definedName name="{DODIALOG&quot;GOTO">#REF!</definedName>
    <definedName name="|" localSheetId="1">#REF!</definedName>
    <definedName name="AGVAR">#N/A</definedName>
    <definedName name="BREAKEVEN">#N/A</definedName>
    <definedName name="CASH" localSheetId="1">#REF!</definedName>
    <definedName name="CASHFORMAT" localSheetId="1">#REF!</definedName>
    <definedName name="CENTER" localSheetId="1">#REF!</definedName>
    <definedName name="COST1" localSheetId="1">#REF!</definedName>
    <definedName name="COST2" localSheetId="1">#REF!</definedName>
    <definedName name="ENR">'Bud'!$R$97:$R$97</definedName>
    <definedName name="ENR_MNR">'Bud'!$R$97:$R$97</definedName>
    <definedName name="ETR">'Bud'!$P$96:$P$96</definedName>
    <definedName name="EXECUTEGOTODI">#REF!</definedName>
    <definedName name="EXPP">'Bud'!$R$78:$R$78</definedName>
    <definedName name="EXPY">'Bud'!$P$78:$P$78</definedName>
    <definedName name="FOOTER" localSheetId="1">#REF!</definedName>
    <definedName name="MEDP" localSheetId="1">'[3]Main'!$F$24:$F$24</definedName>
    <definedName name="MEDP">'Bud'!$G$21:$G$21</definedName>
    <definedName name="MEDY" localSheetId="1">'[3]Main'!$F$23:$F$23</definedName>
    <definedName name="MEDY">'Bud'!$G$20:$G$20</definedName>
    <definedName name="MNR">'Bud'!$P$98:$P$98</definedName>
    <definedName name="MTC">'Bud'!$R$96:$R$96</definedName>
    <definedName name="MTCV">'Bud'!$R$96:$R$96</definedName>
    <definedName name="MTR">'Bud'!$P$97:$P$97</definedName>
    <definedName name="PG" localSheetId="1">#REF!</definedName>
    <definedName name="PG_NO" localSheetId="1">#REF!</definedName>
    <definedName name="PRINTIT" localSheetId="1">#REF!</definedName>
    <definedName name="PRINTONE" localSheetId="1">#REF!</definedName>
    <definedName name="PRINTOP" localSheetId="1">#REF!</definedName>
    <definedName name="PRINTTWO" localSheetId="1">#REF!</definedName>
    <definedName name="RET1" localSheetId="1">#REF!</definedName>
    <definedName name="RISK">#N/A</definedName>
    <definedName name="SPINVAL" localSheetId="1">#REF!</definedName>
    <definedName name="STRHH">'Bud'!$P$92:$P$92</definedName>
    <definedName name="STRHL">'Bud'!$P$93:$P$93</definedName>
    <definedName name="STRLH">'Bud'!$R$93:$R$93</definedName>
    <definedName name="STRLL">'Bud'!$R$92:$R$92</definedName>
    <definedName name="STRO">'Bud'!$P$94:$P$94</definedName>
    <definedName name="STRP">'Bud'!$R$94:$R$94</definedName>
    <definedName name="TITLE1">#N/A</definedName>
    <definedName name="TITLE2">#N/A</definedName>
    <definedName name="TITLE3">#N/A</definedName>
    <definedName name="TITLE4">#N/A</definedName>
    <definedName name="TITLE5">#N/A</definedName>
    <definedName name="TITLE6">#N/A</definedName>
    <definedName name="TOP">#N/A</definedName>
    <definedName name="TOTAL" localSheetId="1">#REF!</definedName>
    <definedName name="TOTFORMAT" localSheetId="1">#REF!</definedName>
    <definedName name="UNIT">'Bud'!$I$15:$I$15</definedName>
    <definedName name="UNITCOST" localSheetId="1">'[2]Main'!$I$63:$I$63</definedName>
    <definedName name="UNITCOST">'Bud'!$I$62:$I$62</definedName>
    <definedName name="VARFORMAT" localSheetId="1">#REF!</definedName>
    <definedName name="VARIABLE" localSheetId="1">#REF!</definedName>
    <definedName name="XONE" localSheetId="1">#REF!</definedName>
    <definedName name="XTWO" localSheetId="1">#REF!</definedName>
    <definedName name="YONE" localSheetId="1">#REF!</definedName>
    <definedName name="YTWO" localSheetId="1">#REF!</definedName>
    <definedName name="ZONE" localSheetId="1">#REF!</definedName>
  </definedNames>
  <calcPr fullCalcOnLoad="1"/>
</workbook>
</file>

<file path=xl/sharedStrings.xml><?xml version="1.0" encoding="utf-8"?>
<sst xmlns="http://schemas.openxmlformats.org/spreadsheetml/2006/main" count="1001" uniqueCount="372">
  <si>
    <t/>
  </si>
  <si>
    <t>-</t>
  </si>
  <si>
    <t xml:space="preserve"> </t>
  </si>
  <si>
    <t xml:space="preserve">                                                            </t>
  </si>
  <si>
    <t xml:space="preserve">          RISK RATED RETURNS OVER TOTAL COSTS</t>
  </si>
  <si>
    <t xml:space="preserve">         BASE BUDGETED NET REVENUE =</t>
  </si>
  <si>
    <t xml:space="preserve">        *Number of acres =</t>
  </si>
  <si>
    <t xml:space="preserve">    Must match budget Entries</t>
  </si>
  <si>
    <t xml:space="preserve">   Air Blast</t>
  </si>
  <si>
    <t xml:space="preserve">   Herbicide</t>
  </si>
  <si>
    <t xml:space="preserve">  ACRES</t>
  </si>
  <si>
    <t xml:space="preserve">  Best P</t>
  </si>
  <si>
    <t xml:space="preserve">  Best Y</t>
  </si>
  <si>
    <t xml:space="preserve">  Demand (standby charge) per YEAR</t>
  </si>
  <si>
    <t xml:space="preserve">  ENR</t>
  </si>
  <si>
    <t xml:space="preserve">  ENR-MNR</t>
  </si>
  <si>
    <t xml:space="preserve">  ETR</t>
  </si>
  <si>
    <t xml:space="preserve">  Exp. P</t>
  </si>
  <si>
    <t xml:space="preserve">  Exp. Y</t>
  </si>
  <si>
    <t xml:space="preserve">  Expected</t>
  </si>
  <si>
    <t xml:space="preserve">  H&amp;MC</t>
  </si>
  <si>
    <t xml:space="preserve">  Med. P</t>
  </si>
  <si>
    <t xml:space="preserve">  Med. Y</t>
  </si>
  <si>
    <t xml:space="preserve">  MNR</t>
  </si>
  <si>
    <t xml:space="preserve">  MP</t>
  </si>
  <si>
    <t xml:space="preserve">  MTC</t>
  </si>
  <si>
    <t xml:space="preserve">  MTR</t>
  </si>
  <si>
    <t xml:space="preserve">  MY</t>
  </si>
  <si>
    <t xml:space="preserve">  Opt. P</t>
  </si>
  <si>
    <t xml:space="preserve">  Opt. Y</t>
  </si>
  <si>
    <t xml:space="preserve">  Optimistic</t>
  </si>
  <si>
    <t xml:space="preserve">  Pess. P</t>
  </si>
  <si>
    <t xml:space="preserve">  Pess. Y</t>
  </si>
  <si>
    <t xml:space="preserve">  Pessimistic</t>
  </si>
  <si>
    <t xml:space="preserve">  Rate $ per KWH</t>
  </si>
  <si>
    <t xml:space="preserve">  SPO</t>
  </si>
  <si>
    <t xml:space="preserve">  SPP</t>
  </si>
  <si>
    <t xml:space="preserve">  STRHH</t>
  </si>
  <si>
    <t xml:space="preserve">  STRHL</t>
  </si>
  <si>
    <t xml:space="preserve">  STRLH</t>
  </si>
  <si>
    <t xml:space="preserve">  STRLL</t>
  </si>
  <si>
    <t xml:space="preserve">  STRO</t>
  </si>
  <si>
    <t xml:space="preserve">  STRP</t>
  </si>
  <si>
    <t xml:space="preserve">  SYO</t>
  </si>
  <si>
    <t xml:space="preserve">  SYP</t>
  </si>
  <si>
    <t xml:space="preserve">  T.C.</t>
  </si>
  <si>
    <t xml:space="preserve">  VPO</t>
  </si>
  <si>
    <t xml:space="preserve">  VPP</t>
  </si>
  <si>
    <t xml:space="preserve">  VTRHH</t>
  </si>
  <si>
    <t xml:space="preserve">  VTRHL</t>
  </si>
  <si>
    <t xml:space="preserve">  VTRLH</t>
  </si>
  <si>
    <t xml:space="preserve">  VTRLL</t>
  </si>
  <si>
    <t xml:space="preserve">  VYO</t>
  </si>
  <si>
    <t xml:space="preserve">  VYP</t>
  </si>
  <si>
    <t xml:space="preserve">  Worst P</t>
  </si>
  <si>
    <t xml:space="preserve">  Worst Y</t>
  </si>
  <si>
    <t xml:space="preserve"> Fuel</t>
  </si>
  <si>
    <t xml:space="preserve"> Haul</t>
  </si>
  <si>
    <t xml:space="preserve"> Item</t>
  </si>
  <si>
    <t xml:space="preserve"> Operation</t>
  </si>
  <si>
    <t xml:space="preserve"> per lb.</t>
  </si>
  <si>
    <t xml:space="preserve"> Repair &amp; maintenance</t>
  </si>
  <si>
    <t xml:space="preserve"> Repair &amp; Maintenance</t>
  </si>
  <si>
    <t xml:space="preserve"> Rotary Mower</t>
  </si>
  <si>
    <t xml:space="preserve"> Sprayer:</t>
  </si>
  <si>
    <t>$</t>
  </si>
  <si>
    <t>$Amt/ac</t>
  </si>
  <si>
    <t>%</t>
  </si>
  <si>
    <t>($)</t>
  </si>
  <si>
    <t>(continued on next page)</t>
  </si>
  <si>
    <t>(ft.)</t>
  </si>
  <si>
    <t>(Gal.)</t>
  </si>
  <si>
    <t>(Hr.)</t>
  </si>
  <si>
    <t>(mph)</t>
  </si>
  <si>
    <t>*</t>
  </si>
  <si>
    <t>* These prices are for new equipments.  Used equipments could be purchased.</t>
  </si>
  <si>
    <t>****</t>
  </si>
  <si>
    <t>*Price per lb.</t>
  </si>
  <si>
    <t>*Returns($)</t>
  </si>
  <si>
    <t>*Yield (lbs)</t>
  </si>
  <si>
    <t>:</t>
  </si>
  <si>
    <t>::</t>
  </si>
  <si>
    <t>{EditGoto Bud:a1}</t>
  </si>
  <si>
    <t>{PUTBLOCK "Cash Flow Budget",Bud:e14}</t>
  </si>
  <si>
    <t>{PUTBLOCK "FIXED COST",Bud:b53}</t>
  </si>
  <si>
    <t>{PUTBLOCK "FIXED OUTLAYS",Bud:b53}</t>
  </si>
  <si>
    <t>{PUTBLOCK "Total Cost Budget",Bud:e14}</t>
  </si>
  <si>
    <t>{PUTBLOCK "Total Fixed Costs",Bud:b59}</t>
  </si>
  <si>
    <t>{PUTBLOCK "Total Fixed Outlays",Bud:b59}</t>
  </si>
  <si>
    <t>{PUTBLOCK "Variable Cost Budget",Bud:e14}</t>
  </si>
  <si>
    <t>|</t>
  </si>
  <si>
    <t>Acre</t>
  </si>
  <si>
    <t>Acres</t>
  </si>
  <si>
    <t>ACRES</t>
  </si>
  <si>
    <t>AMOUNT</t>
  </si>
  <si>
    <t>Amt/Ac.</t>
  </si>
  <si>
    <t>ANNUAL ENERGY COST</t>
  </si>
  <si>
    <t>ANNUAL ENERGY COST PER ACRE</t>
  </si>
  <si>
    <t>ANNUAL PUMPING HOURS</t>
  </si>
  <si>
    <t>Appl</t>
  </si>
  <si>
    <t>Appl.</t>
  </si>
  <si>
    <t>BASED ON</t>
  </si>
  <si>
    <t>Best</t>
  </si>
  <si>
    <t>Break-Even (BE) Costs Per Lb.</t>
  </si>
  <si>
    <t>by</t>
  </si>
  <si>
    <t>Calculation of NR and for Z values</t>
  </si>
  <si>
    <t>Calculations</t>
  </si>
  <si>
    <t>Chances</t>
  </si>
  <si>
    <t>CHANCES FOR PROFIT =</t>
  </si>
  <si>
    <t>Cleaning &amp; Drying</t>
  </si>
  <si>
    <t>COST</t>
  </si>
  <si>
    <t>Costs Per Lb.</t>
  </si>
  <si>
    <t>Deprec.</t>
  </si>
  <si>
    <t>DEPREC.</t>
  </si>
  <si>
    <t>DEPTH OF WELL IN FEET</t>
  </si>
  <si>
    <t>Dump wagon</t>
  </si>
  <si>
    <t>Effic.</t>
  </si>
  <si>
    <t>ELECTRICITY</t>
  </si>
  <si>
    <t>Equip.</t>
  </si>
  <si>
    <t>EXPECTED</t>
  </si>
  <si>
    <t>EXPECTED RETURNS FROM TOTAL ACREAGE</t>
  </si>
  <si>
    <t>FC/Ac</t>
  </si>
  <si>
    <t>Fertilizer (10-10-10)</t>
  </si>
  <si>
    <t>Field</t>
  </si>
  <si>
    <t>FIXED COST</t>
  </si>
  <si>
    <t>FIXED COSTS</t>
  </si>
  <si>
    <t xml:space="preserve">Fixed costs                 </t>
  </si>
  <si>
    <t>FIXED COSTS per ACRE</t>
  </si>
  <si>
    <t>Foliar B</t>
  </si>
  <si>
    <t>Foliar Zn</t>
  </si>
  <si>
    <t>Fuel</t>
  </si>
  <si>
    <t>Fungicide</t>
  </si>
  <si>
    <t>Fungicides</t>
  </si>
  <si>
    <t>Gal.</t>
  </si>
  <si>
    <t>General Overhead</t>
  </si>
  <si>
    <t>Harvest</t>
  </si>
  <si>
    <t>Harvest &amp; marketing cost per lb.</t>
  </si>
  <si>
    <t>Harvest and Marketing Costs</t>
  </si>
  <si>
    <t>Herbicide</t>
  </si>
  <si>
    <t>Herbicides</t>
  </si>
  <si>
    <t>Hour</t>
  </si>
  <si>
    <t>Hr.</t>
  </si>
  <si>
    <t>Hrs</t>
  </si>
  <si>
    <t>In reality , the higher fixed costs may begin earlier or later.</t>
  </si>
  <si>
    <t>Insecticide</t>
  </si>
  <si>
    <t>Insecticides</t>
  </si>
  <si>
    <t>Int</t>
  </si>
  <si>
    <t>Interest</t>
  </si>
  <si>
    <t>INTEREST</t>
  </si>
  <si>
    <t>INTEREST ON INVESTMENT CAPITAL</t>
  </si>
  <si>
    <t>Interest on Oper. Cap.</t>
  </si>
  <si>
    <t>Interest on operation</t>
  </si>
  <si>
    <t>INVESTMENT AND ANNUAL FIXED COSTS</t>
  </si>
  <si>
    <t>Irrigation</t>
  </si>
  <si>
    <t>IRRIGATION: Enter 0 for none, 1 for drip, 2 for Solid Set</t>
  </si>
  <si>
    <t>Item</t>
  </si>
  <si>
    <t>ITEM</t>
  </si>
  <si>
    <t>Labor</t>
  </si>
  <si>
    <t>Land</t>
  </si>
  <si>
    <t>Land Lease</t>
  </si>
  <si>
    <t>Land rent</t>
  </si>
  <si>
    <t>Lbs.</t>
  </si>
  <si>
    <t>Life</t>
  </si>
  <si>
    <t>Lime (DOL.)</t>
  </si>
  <si>
    <t>Lime, applied</t>
  </si>
  <si>
    <t>Mach</t>
  </si>
  <si>
    <t>Machinery appl &amp; maintenance</t>
  </si>
  <si>
    <t>Management Overhead</t>
  </si>
  <si>
    <t>MARKETED</t>
  </si>
  <si>
    <t>Median</t>
  </si>
  <si>
    <t>MOTOR SIZE (HP)</t>
  </si>
  <si>
    <t>Net return levels (TOP ROW);</t>
  </si>
  <si>
    <t>NEW COST</t>
  </si>
  <si>
    <t>Nitrogen (N)</t>
  </si>
  <si>
    <t>Number</t>
  </si>
  <si>
    <t>OPERATING COSTS</t>
  </si>
  <si>
    <t>Opt</t>
  </si>
  <si>
    <t>Other</t>
  </si>
  <si>
    <t>Over</t>
  </si>
  <si>
    <t>Overhead and Management</t>
  </si>
  <si>
    <t>PECAN BUDGET</t>
  </si>
  <si>
    <t xml:space="preserve">PECANS   </t>
  </si>
  <si>
    <t>Per</t>
  </si>
  <si>
    <t>Pess</t>
  </si>
  <si>
    <t>Phosphorus (P)</t>
  </si>
  <si>
    <t>PIPE &amp; FITTINGS</t>
  </si>
  <si>
    <t>Potassium (K)</t>
  </si>
  <si>
    <t>Pre-Harvest</t>
  </si>
  <si>
    <t>Pre-harvest variable cost per lb.</t>
  </si>
  <si>
    <t>Pre-Harvest Variable Costs</t>
  </si>
  <si>
    <t>Prepared by Greg Fonsah, Lenny Wells and Brad Mitchell</t>
  </si>
  <si>
    <t>Price</t>
  </si>
  <si>
    <t>PRICE</t>
  </si>
  <si>
    <t>Purchase</t>
  </si>
  <si>
    <t>PUTBLOCK</t>
  </si>
  <si>
    <t>Quant.</t>
  </si>
  <si>
    <t>QUANT.</t>
  </si>
  <si>
    <t>Quantity</t>
  </si>
  <si>
    <t>Recapture estab. costs</t>
  </si>
  <si>
    <t>Repairs</t>
  </si>
  <si>
    <t>REPAIRS</t>
  </si>
  <si>
    <t>Return over</t>
  </si>
  <si>
    <t>RETURNS</t>
  </si>
  <si>
    <t>Revised September 2008</t>
  </si>
  <si>
    <t>RRRETURNS</t>
  </si>
  <si>
    <t xml:space="preserve">Salvage </t>
  </si>
  <si>
    <t>SPACING</t>
  </si>
  <si>
    <t>Speed</t>
  </si>
  <si>
    <t>TAX &amp; INS.</t>
  </si>
  <si>
    <t>Tax&amp;Ins</t>
  </si>
  <si>
    <t>TAXES &amp; INSURANCE</t>
  </si>
  <si>
    <t>The chances of obtaining this level or less (BOTTOM ROW).</t>
  </si>
  <si>
    <t>The chances of obtaining this level or more (MIDDLE ROW); and</t>
  </si>
  <si>
    <t>This example assumes very good management practices.</t>
  </si>
  <si>
    <t xml:space="preserve">This year fixed costs for the mature orchard was used. </t>
  </si>
  <si>
    <t>Times</t>
  </si>
  <si>
    <t>Ton</t>
  </si>
  <si>
    <t>Total</t>
  </si>
  <si>
    <t>TOTAL</t>
  </si>
  <si>
    <t>Total budgeted cost per acre</t>
  </si>
  <si>
    <t>Total budgeted cost per lb.</t>
  </si>
  <si>
    <t>Total Cost</t>
  </si>
  <si>
    <t>Total Establishment Costs</t>
  </si>
  <si>
    <t>Total Fixed Costs</t>
  </si>
  <si>
    <t>TOTAL FIXED COSTS</t>
  </si>
  <si>
    <t>Total Harvest</t>
  </si>
  <si>
    <t>Total Harvesting and Marketing Costs</t>
  </si>
  <si>
    <t>Total Investment</t>
  </si>
  <si>
    <t>Total Operating Costs</t>
  </si>
  <si>
    <t>Total Pre-Harvest</t>
  </si>
  <si>
    <t>Total Variable Costs</t>
  </si>
  <si>
    <t>Tractor &amp; Equipment</t>
  </si>
  <si>
    <t>Tree</t>
  </si>
  <si>
    <t>Truck</t>
  </si>
  <si>
    <t>UGA, Ag and Applied Econ Dept. Horticulture and Mitchell Co.</t>
  </si>
  <si>
    <t>Unit</t>
  </si>
  <si>
    <t>UNIT</t>
  </si>
  <si>
    <t>Use</t>
  </si>
  <si>
    <t>Value</t>
  </si>
  <si>
    <t>Var. Cost</t>
  </si>
  <si>
    <t>Variable Cost Budget</t>
  </si>
  <si>
    <t>Variable Costs</t>
  </si>
  <si>
    <t>VOLUME</t>
  </si>
  <si>
    <t>Width</t>
  </si>
  <si>
    <t>Worst</t>
  </si>
  <si>
    <t>Year</t>
  </si>
  <si>
    <t>Yield</t>
  </si>
  <si>
    <t>YIELD/AC</t>
  </si>
  <si>
    <t>Yrs.</t>
  </si>
  <si>
    <t>YRS.LIFE</t>
  </si>
  <si>
    <t>Zinc Sulphate</t>
  </si>
  <si>
    <t>Tubing &amp; Emitters Inline</t>
  </si>
  <si>
    <t>WELL (4")</t>
  </si>
  <si>
    <t>Pump &amp; Motor</t>
  </si>
  <si>
    <t xml:space="preserve">Filter &amp; Auto </t>
  </si>
  <si>
    <t>Misc.</t>
  </si>
  <si>
    <t xml:space="preserve">Installation </t>
  </si>
  <si>
    <t xml:space="preserve">Land prep 1/- </t>
  </si>
  <si>
    <t>1/-  Landprep vary significantly fro $0 - $1,000 per acre.</t>
  </si>
  <si>
    <t>Alion</t>
  </si>
  <si>
    <t xml:space="preserve">Total </t>
  </si>
  <si>
    <t>Total Chemicals</t>
  </si>
  <si>
    <t>Bush Hog Mower (20')</t>
  </si>
  <si>
    <t>Bess Sprayer</t>
  </si>
  <si>
    <t>Herbicide strip Sprayer</t>
  </si>
  <si>
    <t>Grinder (hand tools etc.)</t>
  </si>
  <si>
    <t>Dodge Truck (1/2 ton)</t>
  </si>
  <si>
    <t>2nd Year Estimated Annual Maintenance Cost for Satsuma</t>
  </si>
  <si>
    <t>1st Year Estimated Establishment And Maintenance</t>
  </si>
  <si>
    <t xml:space="preserve"> SPRINKLER SPACING</t>
  </si>
  <si>
    <t xml:space="preserve">Pipe &amp; Fittings </t>
  </si>
  <si>
    <t>Well (8") (600 Gals/min)</t>
  </si>
  <si>
    <t>Check valve</t>
  </si>
  <si>
    <t>Filter</t>
  </si>
  <si>
    <t>Meter base</t>
  </si>
  <si>
    <t>Cut off valve</t>
  </si>
  <si>
    <t>Water tank</t>
  </si>
  <si>
    <t>Misc</t>
  </si>
  <si>
    <t>Installation</t>
  </si>
  <si>
    <t>Pump &amp; Motor (3-phase electric hook-up)</t>
  </si>
  <si>
    <t xml:space="preserve">Micro Sprinklers system </t>
  </si>
  <si>
    <t>Scouting</t>
  </si>
  <si>
    <t>Total Pre-Variable Costs</t>
  </si>
  <si>
    <t>Herbicides Pre-emergent</t>
  </si>
  <si>
    <t>Herbicides Post-emergent</t>
  </si>
  <si>
    <t>Micro-nutrient sprays</t>
  </si>
  <si>
    <t>Pre-emergence Herbicides</t>
  </si>
  <si>
    <t>Post emergent herbicides</t>
  </si>
  <si>
    <t>Tissue Analysis</t>
  </si>
  <si>
    <t>Soil Analysis</t>
  </si>
  <si>
    <t>Tissue analysis</t>
  </si>
  <si>
    <t>Soil analysis</t>
  </si>
  <si>
    <t>Irrigation/Frost Protection</t>
  </si>
  <si>
    <t>Packing &amp; cooling</t>
  </si>
  <si>
    <t>TOTAL FIXED COSTS (TFC)</t>
  </si>
  <si>
    <t>TOTAL COSTS (TC) ($)</t>
  </si>
  <si>
    <t>TOTAL FIXED COSTS (TFC) ($)</t>
  </si>
  <si>
    <t>Tractor</t>
  </si>
  <si>
    <t>EXAMPLE OF CHEMICALS FOR SATSUMA</t>
  </si>
  <si>
    <t>Total Pre-Variable Costs (P-HVC)</t>
  </si>
  <si>
    <t>TOTAL COSTS (FC)</t>
  </si>
  <si>
    <t>Total budgeted cost per acre ($)</t>
  </si>
  <si>
    <t>Total Fixed Costs ($)</t>
  </si>
  <si>
    <t>DRIP IRRIGATION FOR SATSUMA</t>
  </si>
  <si>
    <t>COMPOUND AND RECAPTURE OF ESTABLISHMENT COSTS</t>
  </si>
  <si>
    <t>YEARS TO</t>
  </si>
  <si>
    <t>PRODUCTION</t>
  </si>
  <si>
    <t>COMPOUNDING RATE</t>
  </si>
  <si>
    <t>COMPOUND ESTAB. COST</t>
  </si>
  <si>
    <t>RECAPTURE ESTAB. COST</t>
  </si>
  <si>
    <t>Years</t>
  </si>
  <si>
    <t xml:space="preserve">Interest </t>
  </si>
  <si>
    <t>ANNUAL COST ($)</t>
  </si>
  <si>
    <t>--------------&gt;</t>
  </si>
  <si>
    <t>Recaptured Establishment Costs</t>
  </si>
  <si>
    <t>THIS BUDGET IS INTERACTIVE</t>
  </si>
  <si>
    <t>BE pre-harvest variable cost per lb ($).</t>
  </si>
  <si>
    <t>BE harvest &amp; marketing cost per lb ($).</t>
  </si>
  <si>
    <t xml:space="preserve">BE fixed costs  per lb ($)                </t>
  </si>
  <si>
    <t>BE Yields (Lbs).</t>
  </si>
  <si>
    <t xml:space="preserve">Trees replacement (15 x 20)  </t>
  </si>
  <si>
    <t>RU (Gramaxon)</t>
  </si>
  <si>
    <t xml:space="preserve">Trees (15 x 20)  </t>
  </si>
  <si>
    <t xml:space="preserve">Trees replacement (15 x 20) </t>
  </si>
  <si>
    <t>Fugicides</t>
  </si>
  <si>
    <t>Disclaimer:</t>
  </si>
  <si>
    <t>This budget is only a guideline.  Production practices, yields, selling and input prices vary significantly</t>
  </si>
  <si>
    <t>between growers, researchers, states, regions and nationally.  Growers are advised to enter their actual</t>
  </si>
  <si>
    <t xml:space="preserve">                                       Base Budgeted Net Revenue ($) =</t>
  </si>
  <si>
    <t>Chances for Profit =</t>
  </si>
  <si>
    <t xml:space="preserve">  Opt</t>
  </si>
  <si>
    <t xml:space="preserve">  Pess</t>
  </si>
  <si>
    <t>for Crop</t>
  </si>
  <si>
    <t>% Use</t>
  </si>
  <si>
    <t>by 40</t>
  </si>
  <si>
    <t>Harvesting &amp; hauling</t>
  </si>
  <si>
    <t xml:space="preserve">ESTIMATED TOTAL ANNUAL FIXED MACHINERY COSTS FOR SATSUMA </t>
  </si>
  <si>
    <t>BE Total cost per acre</t>
  </si>
  <si>
    <t>GROWERS ARE ENCOURAGED TO ENTER THEIR OWN NUMBERS</t>
  </si>
  <si>
    <t>yields, selling and input price data.</t>
  </si>
  <si>
    <t>50/50 - 6+ Years - SATSUMA CITRUS BUDGET - FRESH MARKET</t>
  </si>
  <si>
    <t>Gal</t>
  </si>
  <si>
    <t xml:space="preserve">THIS BUDGET IS INTERACTIVE </t>
  </si>
  <si>
    <t>Cost Per Acre For Georgia Satsuma Citrus</t>
  </si>
  <si>
    <t>INPUT COST</t>
  </si>
  <si>
    <t>3rd Estimated Annual Maintenance Cost For Satsuma Citrus</t>
  </si>
  <si>
    <t>John Deere Tractor 5095M  (hp 95)</t>
  </si>
  <si>
    <t xml:space="preserve">Total Annual Costs Per Acre </t>
  </si>
  <si>
    <t>Annual Fixed Costs Per Acre</t>
  </si>
  <si>
    <t>Total Annual Fixed Costs</t>
  </si>
  <si>
    <t xml:space="preserve">Total Investment </t>
  </si>
  <si>
    <t xml:space="preserve">Operating Cost Per Acre Per Year </t>
  </si>
  <si>
    <t xml:space="preserve">Annual Fixed Costs Per Acre </t>
  </si>
  <si>
    <t>Total Annual Costs Per Acre</t>
  </si>
  <si>
    <t>FROST PROTECTION IRRIGATION FOR SATSUMA CITRUS</t>
  </si>
  <si>
    <t xml:space="preserve">SATSUMA  CITRUS RETURNS </t>
  </si>
  <si>
    <t>ESTIMATED MACHINERY COST FOR SATSUMA CITRUS PRODUCTION</t>
  </si>
  <si>
    <t>Quantity.</t>
  </si>
  <si>
    <t>Budget Authors and Contact Information:</t>
  </si>
  <si>
    <t>Esendugue Greg Fonsah &amp; Guy Hancock</t>
  </si>
  <si>
    <t>Department of Agriculture and Applied Economics - University of Georgia</t>
  </si>
  <si>
    <t>Phone:  229-386-3512</t>
  </si>
  <si>
    <t xml:space="preserve">Esendugue Greg Fonsah Email: gfonsah@uga.edu </t>
  </si>
  <si>
    <t>Guy Hancock Email:  ghancock@uga.edu</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</si>
  <si>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</si>
  <si>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</si>
  <si>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</si>
  <si>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crop-growing regions of the state. These prices were then aggregated together to develop the cost estimates used in the budgets. </t>
  </si>
  <si>
    <t>Other sources considered in the development of this budget include:</t>
  </si>
  <si>
    <t>U.S. Department of Agriculture. (2023). Cost-of-production forecasts for major U.S. field crops, 2023F-2024F [Data set]. Retrieved December 8, 2023 from https://www.ers.usda.gov/data-products/commodity-costs-and-returns/</t>
  </si>
  <si>
    <t>U.S. Department of Agriculture, Economic Research Service. Farm Sector Income &amp; Finances: Farm Sector Income Forecast, November 30, 2023.</t>
  </si>
  <si>
    <t xml:space="preserve">      6TH+ YEARS PRODUCTION - SATSUMA CITRUS 2024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</si>
</sst>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
    <numFmt numFmtId="165" formatCode="0.0%"/>
    <numFmt numFmtId="166" formatCode="0.000"/>
    <numFmt numFmtId="167" formatCode="[$$-409]\ #,##0"/>
    <numFmt numFmtId="168" formatCode="0.0"/>
    <numFmt numFmtId="169" formatCode="[$$-409]#,##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s>
  <fonts count="70">
    <font>
      <sz val="10"/>
      <name val="Arial"/>
      <family val="0"/>
    </font>
    <font>
      <b/>
      <sz val="18"/>
      <name val="Arial"/>
      <family val="0"/>
    </font>
    <font>
      <b/>
      <sz val="12"/>
      <name val="Arial"/>
      <family val="0"/>
    </font>
    <font>
      <b/>
      <sz val="10"/>
      <name val="Arial"/>
      <family val="0"/>
    </font>
    <font>
      <sz val="12"/>
      <name val="Arial"/>
      <family val="2"/>
    </font>
    <font>
      <sz val="8"/>
      <name val="Helv"/>
      <family val="0"/>
    </font>
    <font>
      <sz val="10"/>
      <color indexed="8"/>
      <name val="Arial"/>
      <family val="2"/>
    </font>
    <font>
      <b/>
      <sz val="10"/>
      <color indexed="14"/>
      <name val="Arial"/>
      <family val="2"/>
    </font>
    <font>
      <sz val="11"/>
      <name val="Arial"/>
      <family val="2"/>
    </font>
    <font>
      <b/>
      <sz val="16"/>
      <name val="Arial"/>
      <family val="2"/>
    </font>
    <font>
      <sz val="11"/>
      <color indexed="9"/>
      <name val="Calibri"/>
      <family val="2"/>
    </font>
    <font>
      <sz val="11"/>
      <color indexed="8"/>
      <name val="Calibri"/>
      <family val="2"/>
    </font>
    <font>
      <sz val="11"/>
      <color indexed="26"/>
      <name val="Calibri"/>
      <family val="2"/>
    </font>
    <font>
      <b/>
      <sz val="11"/>
      <color indexed="43"/>
      <name val="Calibri"/>
      <family val="2"/>
    </font>
    <font>
      <b/>
      <sz val="11"/>
      <color indexed="8"/>
      <name val="Calibri"/>
      <family val="2"/>
    </font>
    <font>
      <i/>
      <sz val="11"/>
      <color indexed="50"/>
      <name val="Calibri"/>
      <family val="2"/>
    </font>
    <font>
      <u val="single"/>
      <sz val="10"/>
      <color indexed="45"/>
      <name val="Arial"/>
      <family val="2"/>
    </font>
    <font>
      <sz val="11"/>
      <color indexed="36"/>
      <name val="Calibri"/>
      <family val="2"/>
    </font>
    <font>
      <b/>
      <sz val="15"/>
      <color indexed="14"/>
      <name val="Calibri"/>
      <family val="2"/>
    </font>
    <font>
      <b/>
      <sz val="13"/>
      <color indexed="14"/>
      <name val="Calibri"/>
      <family val="2"/>
    </font>
    <font>
      <b/>
      <sz val="11"/>
      <color indexed="14"/>
      <name val="Calibri"/>
      <family val="2"/>
    </font>
    <font>
      <u val="single"/>
      <sz val="10"/>
      <color indexed="11"/>
      <name val="Arial"/>
      <family val="2"/>
    </font>
    <font>
      <sz val="11"/>
      <color indexed="50"/>
      <name val="Calibri"/>
      <family val="2"/>
    </font>
    <font>
      <sz val="11"/>
      <color indexed="43"/>
      <name val="Calibri"/>
      <family val="2"/>
    </font>
    <font>
      <sz val="11"/>
      <color indexed="61"/>
      <name val="Calibri"/>
      <family val="2"/>
    </font>
    <font>
      <b/>
      <sz val="11"/>
      <color indexed="9"/>
      <name val="Calibri"/>
      <family val="2"/>
    </font>
    <font>
      <b/>
      <sz val="18"/>
      <color indexed="14"/>
      <name val="Cambria"/>
      <family val="2"/>
    </font>
    <font>
      <sz val="11"/>
      <color indexed="10"/>
      <name val="Calibri"/>
      <family val="2"/>
    </font>
    <font>
      <sz val="10"/>
      <color indexed="10"/>
      <name val="Arial"/>
      <family val="2"/>
    </font>
    <font>
      <b/>
      <sz val="12"/>
      <color indexed="10"/>
      <name val="Arial"/>
      <family val="2"/>
    </font>
    <font>
      <b/>
      <sz val="11"/>
      <color indexed="10"/>
      <name val="Arial"/>
      <family val="2"/>
    </font>
    <font>
      <b/>
      <sz val="10"/>
      <color indexed="10"/>
      <name val="Arial"/>
      <family val="2"/>
    </font>
    <font>
      <b/>
      <sz val="16"/>
      <color indexed="10"/>
      <name val="Arial"/>
      <family val="2"/>
    </font>
    <font>
      <sz val="14"/>
      <color indexed="9"/>
      <name val="Calibri"/>
      <family val="2"/>
    </font>
    <font>
      <b/>
      <sz val="14"/>
      <color indexed="9"/>
      <name val="Calibri"/>
      <family val="2"/>
    </font>
    <font>
      <b/>
      <sz val="14"/>
      <name val="Calibri"/>
      <family val="2"/>
    </font>
    <font>
      <sz val="10"/>
      <name val="Calibri"/>
      <family val="2"/>
    </font>
    <font>
      <sz val="12"/>
      <color indexed="56"/>
      <name val="Arial"/>
      <family val="2"/>
    </font>
    <font>
      <b/>
      <sz val="12"/>
      <color indexed="56"/>
      <name val="Arial"/>
      <family val="2"/>
    </font>
    <font>
      <b/>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Arial"/>
      <family val="2"/>
    </font>
    <font>
      <b/>
      <sz val="11"/>
      <color rgb="FFFF0000"/>
      <name val="Arial"/>
      <family val="2"/>
    </font>
    <font>
      <b/>
      <sz val="10"/>
      <color rgb="FFFF0000"/>
      <name val="Arial"/>
      <family val="2"/>
    </font>
    <font>
      <b/>
      <sz val="16"/>
      <color rgb="FFFF0000"/>
      <name val="Arial"/>
      <family val="2"/>
    </font>
    <font>
      <sz val="14"/>
      <color theme="1"/>
      <name val="Calibri"/>
      <family val="2"/>
    </font>
    <font>
      <b/>
      <sz val="14"/>
      <color theme="1"/>
      <name val="Calibri"/>
      <family val="2"/>
    </font>
    <font>
      <sz val="14"/>
      <color rgb="FF000000"/>
      <name val="Calibri"/>
      <family val="2"/>
    </font>
    <font>
      <sz val="12"/>
      <color theme="5" tint="-0.4999699890613556"/>
      <name val="Arial"/>
      <family val="2"/>
    </font>
    <font>
      <b/>
      <sz val="12"/>
      <color theme="5" tint="-0.4999699890613556"/>
      <name val="Arial"/>
      <family val="2"/>
    </font>
    <font>
      <b/>
      <sz val="10"/>
      <color theme="5" tint="-0.4999699890613556"/>
      <name val="Arial"/>
      <family val="2"/>
    </font>
  </fonts>
  <fills count="40">
    <fill>
      <patternFill/>
    </fill>
    <fill>
      <patternFill patternType="gray125"/>
    </fill>
    <fill>
      <patternFill patternType="solid">
        <fgColor indexed="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indexed="8"/>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2" fillId="27" borderId="0" applyNumberFormat="0" applyBorder="0" applyAlignment="0" applyProtection="0"/>
    <xf numFmtId="0" fontId="43" fillId="28" borderId="1" applyNumberFormat="0" applyAlignment="0" applyProtection="0"/>
    <xf numFmtId="0" fontId="44" fillId="29" borderId="2" applyNumberFormat="0" applyAlignment="0" applyProtection="0"/>
    <xf numFmtId="0" fontId="5" fillId="2"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1" borderId="1" applyNumberFormat="0" applyAlignment="0" applyProtection="0"/>
    <xf numFmtId="0" fontId="53" fillId="0" borderId="6" applyNumberFormat="0" applyFill="0" applyAlignment="0" applyProtection="0"/>
    <xf numFmtId="0" fontId="54" fillId="32" borderId="0" applyNumberFormat="0" applyBorder="0" applyAlignment="0" applyProtection="0"/>
    <xf numFmtId="0" fontId="0" fillId="0" borderId="0">
      <alignment/>
      <protection/>
    </xf>
    <xf numFmtId="0" fontId="0" fillId="33" borderId="7" applyNumberFormat="0" applyFont="0" applyAlignment="0" applyProtection="0"/>
    <xf numFmtId="0" fontId="55" fillId="28"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0">
    <xf numFmtId="0" fontId="0" fillId="2" borderId="0" xfId="0" applyFill="1" applyAlignment="1">
      <alignment/>
    </xf>
    <xf numFmtId="0" fontId="0" fillId="2" borderId="10" xfId="0" applyFill="1" applyBorder="1" applyAlignment="1">
      <alignment/>
    </xf>
    <xf numFmtId="0" fontId="0" fillId="34" borderId="10" xfId="0" applyFill="1" applyBorder="1" applyAlignment="1">
      <alignment/>
    </xf>
    <xf numFmtId="0" fontId="3" fillId="34" borderId="10" xfId="0" applyFont="1" applyFill="1" applyBorder="1" applyAlignment="1">
      <alignment/>
    </xf>
    <xf numFmtId="3" fontId="0" fillId="34" borderId="10" xfId="0" applyNumberFormat="1" applyFill="1" applyBorder="1" applyAlignment="1">
      <alignment/>
    </xf>
    <xf numFmtId="3" fontId="0" fillId="2" borderId="10" xfId="0" applyNumberFormat="1" applyFill="1" applyBorder="1" applyAlignment="1">
      <alignment/>
    </xf>
    <xf numFmtId="1" fontId="0" fillId="2" borderId="10" xfId="0" applyNumberFormat="1" applyFill="1" applyBorder="1" applyAlignment="1">
      <alignment horizontal="center"/>
    </xf>
    <xf numFmtId="0" fontId="0" fillId="2" borderId="10" xfId="0" applyFill="1" applyBorder="1" applyAlignment="1">
      <alignment horizontal="center"/>
    </xf>
    <xf numFmtId="2" fontId="0" fillId="2" borderId="10" xfId="0" applyNumberFormat="1" applyFill="1" applyBorder="1" applyAlignment="1">
      <alignment horizontal="center"/>
    </xf>
    <xf numFmtId="1" fontId="3" fillId="2" borderId="10" xfId="0" applyNumberFormat="1" applyFont="1" applyFill="1" applyBorder="1" applyAlignment="1">
      <alignment horizontal="center"/>
    </xf>
    <xf numFmtId="2" fontId="3" fillId="2" borderId="10" xfId="0" applyNumberFormat="1" applyFont="1" applyFill="1" applyBorder="1" applyAlignment="1">
      <alignment horizontal="center"/>
    </xf>
    <xf numFmtId="3" fontId="0" fillId="2" borderId="10" xfId="0" applyNumberFormat="1" applyFill="1" applyBorder="1" applyAlignment="1">
      <alignment horizontal="center"/>
    </xf>
    <xf numFmtId="1" fontId="0" fillId="2" borderId="10" xfId="0" applyNumberFormat="1" applyFill="1" applyBorder="1" applyAlignment="1">
      <alignment/>
    </xf>
    <xf numFmtId="166" fontId="0" fillId="2" borderId="10" xfId="0" applyNumberFormat="1" applyFill="1" applyBorder="1" applyAlignment="1">
      <alignment horizontal="center"/>
    </xf>
    <xf numFmtId="164" fontId="0" fillId="2" borderId="10" xfId="0" applyNumberFormat="1" applyFill="1" applyBorder="1" applyAlignment="1">
      <alignment horizontal="center"/>
    </xf>
    <xf numFmtId="0" fontId="3" fillId="2" borderId="10" xfId="0" applyFont="1" applyFill="1" applyBorder="1" applyAlignment="1">
      <alignment/>
    </xf>
    <xf numFmtId="3" fontId="3" fillId="2" borderId="10" xfId="0" applyNumberFormat="1" applyFont="1" applyFill="1" applyBorder="1" applyAlignment="1">
      <alignment horizontal="center"/>
    </xf>
    <xf numFmtId="2" fontId="0" fillId="2" borderId="10" xfId="0" applyNumberFormat="1" applyFill="1" applyBorder="1" applyAlignment="1">
      <alignment/>
    </xf>
    <xf numFmtId="0" fontId="0" fillId="2" borderId="10" xfId="0" applyFill="1" applyBorder="1" applyAlignment="1">
      <alignment horizontal="right"/>
    </xf>
    <xf numFmtId="0" fontId="3" fillId="2" borderId="10" xfId="0" applyFont="1" applyFill="1" applyBorder="1" applyAlignment="1">
      <alignment horizontal="center"/>
    </xf>
    <xf numFmtId="9" fontId="0" fillId="2" borderId="10" xfId="0" applyNumberFormat="1" applyFill="1" applyBorder="1" applyAlignment="1">
      <alignment horizontal="center"/>
    </xf>
    <xf numFmtId="2" fontId="6" fillId="2" borderId="10" xfId="0" applyNumberFormat="1" applyFont="1" applyFill="1" applyBorder="1" applyAlignment="1">
      <alignment horizontal="center"/>
    </xf>
    <xf numFmtId="3" fontId="6" fillId="2" borderId="10" xfId="0" applyNumberFormat="1" applyFont="1" applyFill="1" applyBorder="1" applyAlignment="1">
      <alignment horizontal="center"/>
    </xf>
    <xf numFmtId="9" fontId="6" fillId="2" borderId="10" xfId="0" applyNumberFormat="1" applyFont="1" applyFill="1" applyBorder="1" applyAlignment="1">
      <alignment horizontal="center"/>
    </xf>
    <xf numFmtId="9" fontId="3" fillId="2" borderId="10" xfId="0" applyNumberFormat="1" applyFont="1" applyFill="1" applyBorder="1" applyAlignment="1">
      <alignment horizontal="center"/>
    </xf>
    <xf numFmtId="2" fontId="0" fillId="0" borderId="10" xfId="0" applyNumberFormat="1" applyBorder="1" applyAlignment="1">
      <alignment horizontal="right"/>
    </xf>
    <xf numFmtId="2" fontId="3" fillId="2" borderId="10" xfId="0" applyNumberFormat="1" applyFont="1" applyFill="1" applyBorder="1" applyAlignment="1">
      <alignment/>
    </xf>
    <xf numFmtId="1" fontId="3" fillId="2" borderId="10" xfId="0" applyNumberFormat="1" applyFont="1" applyFill="1" applyBorder="1" applyAlignment="1">
      <alignment/>
    </xf>
    <xf numFmtId="2" fontId="3" fillId="2" borderId="10" xfId="0" applyNumberFormat="1" applyFont="1" applyFill="1" applyBorder="1" applyAlignment="1">
      <alignment horizontal="right"/>
    </xf>
    <xf numFmtId="164" fontId="0" fillId="2" borderId="10" xfId="0" applyNumberFormat="1" applyFill="1" applyBorder="1" applyAlignment="1">
      <alignment horizontal="right"/>
    </xf>
    <xf numFmtId="164" fontId="0" fillId="2" borderId="10" xfId="0" applyNumberFormat="1" applyFill="1" applyBorder="1" applyAlignment="1">
      <alignment/>
    </xf>
    <xf numFmtId="165" fontId="0" fillId="2" borderId="10" xfId="0" applyNumberFormat="1" applyFill="1" applyBorder="1" applyAlignment="1">
      <alignment/>
    </xf>
    <xf numFmtId="2" fontId="0" fillId="2" borderId="10" xfId="0" applyNumberFormat="1" applyFill="1" applyBorder="1" applyAlignment="1">
      <alignment horizontal="right"/>
    </xf>
    <xf numFmtId="10" fontId="0" fillId="2" borderId="10" xfId="0" applyNumberFormat="1" applyFill="1" applyBorder="1" applyAlignment="1">
      <alignment/>
    </xf>
    <xf numFmtId="10" fontId="0" fillId="2" borderId="10" xfId="0" applyNumberFormat="1" applyFill="1" applyBorder="1" applyAlignment="1">
      <alignment horizontal="center"/>
    </xf>
    <xf numFmtId="0" fontId="7" fillId="35" borderId="10" xfId="0" applyFont="1" applyFill="1" applyBorder="1" applyAlignment="1">
      <alignment horizontal="centerContinuous"/>
    </xf>
    <xf numFmtId="0" fontId="3" fillId="2" borderId="10" xfId="0" applyFont="1" applyFill="1" applyBorder="1" applyAlignment="1">
      <alignment/>
    </xf>
    <xf numFmtId="2" fontId="3" fillId="2" borderId="10" xfId="0" applyNumberFormat="1" applyFont="1" applyFill="1" applyBorder="1" applyAlignment="1">
      <alignment horizontal="center"/>
    </xf>
    <xf numFmtId="0" fontId="0" fillId="2" borderId="10" xfId="0" applyFont="1" applyFill="1" applyBorder="1" applyAlignment="1">
      <alignment horizontal="left"/>
    </xf>
    <xf numFmtId="2" fontId="0" fillId="2" borderId="10" xfId="0" applyNumberFormat="1" applyFont="1" applyFill="1" applyBorder="1" applyAlignment="1">
      <alignment horizontal="left"/>
    </xf>
    <xf numFmtId="0" fontId="0" fillId="2" borderId="10" xfId="0" applyFont="1" applyFill="1" applyBorder="1" applyAlignment="1">
      <alignment/>
    </xf>
    <xf numFmtId="0" fontId="0" fillId="2" borderId="10" xfId="0" applyFont="1" applyFill="1" applyBorder="1" applyAlignment="1">
      <alignment horizontal="center"/>
    </xf>
    <xf numFmtId="2" fontId="0" fillId="2" borderId="10" xfId="0" applyNumberFormat="1" applyFont="1" applyFill="1" applyBorder="1" applyAlignment="1">
      <alignment horizontal="center"/>
    </xf>
    <xf numFmtId="9" fontId="0" fillId="2" borderId="10" xfId="0" applyNumberFormat="1" applyFont="1" applyFill="1" applyBorder="1" applyAlignment="1">
      <alignment horizontal="right"/>
    </xf>
    <xf numFmtId="2" fontId="0" fillId="2" borderId="10" xfId="0" applyNumberFormat="1" applyFont="1" applyFill="1" applyBorder="1" applyAlignment="1">
      <alignment/>
    </xf>
    <xf numFmtId="2" fontId="0" fillId="2" borderId="10" xfId="0" applyNumberFormat="1" applyFont="1" applyFill="1" applyBorder="1" applyAlignment="1">
      <alignment/>
    </xf>
    <xf numFmtId="1" fontId="0" fillId="2" borderId="10" xfId="0" applyNumberFormat="1" applyFont="1" applyFill="1" applyBorder="1" applyAlignment="1">
      <alignment/>
    </xf>
    <xf numFmtId="0" fontId="59" fillId="2" borderId="10" xfId="0" applyFont="1" applyFill="1" applyBorder="1" applyAlignment="1">
      <alignment/>
    </xf>
    <xf numFmtId="164" fontId="3" fillId="2" borderId="10" xfId="0" applyNumberFormat="1" applyFont="1" applyFill="1" applyBorder="1" applyAlignment="1">
      <alignment horizontal="right"/>
    </xf>
    <xf numFmtId="1" fontId="0" fillId="2" borderId="10" xfId="0" applyNumberFormat="1" applyFill="1" applyBorder="1" applyAlignment="1">
      <alignment/>
    </xf>
    <xf numFmtId="0" fontId="0" fillId="2" borderId="10" xfId="0" applyFill="1" applyBorder="1" applyAlignment="1">
      <alignment/>
    </xf>
    <xf numFmtId="0" fontId="3" fillId="2" borderId="10" xfId="0" applyFont="1" applyFill="1" applyBorder="1" applyAlignment="1">
      <alignment/>
    </xf>
    <xf numFmtId="2" fontId="59" fillId="2" borderId="11" xfId="0" applyNumberFormat="1" applyFont="1" applyFill="1" applyBorder="1" applyAlignment="1">
      <alignment horizontal="center"/>
    </xf>
    <xf numFmtId="0" fontId="59" fillId="2" borderId="11" xfId="0" applyFont="1" applyFill="1" applyBorder="1" applyAlignment="1">
      <alignment horizontal="center"/>
    </xf>
    <xf numFmtId="0" fontId="3" fillId="2" borderId="10" xfId="0" applyFont="1" applyFill="1" applyBorder="1" applyAlignment="1">
      <alignment horizontal="center"/>
    </xf>
    <xf numFmtId="2" fontId="3" fillId="2" borderId="12" xfId="0" applyNumberFormat="1" applyFont="1" applyFill="1" applyBorder="1" applyAlignment="1">
      <alignment horizontal="center"/>
    </xf>
    <xf numFmtId="0" fontId="3" fillId="2" borderId="12" xfId="0" applyFont="1" applyFill="1" applyBorder="1" applyAlignment="1">
      <alignment horizontal="center"/>
    </xf>
    <xf numFmtId="2" fontId="3" fillId="2" borderId="12" xfId="0" applyNumberFormat="1" applyFont="1" applyFill="1" applyBorder="1" applyAlignment="1">
      <alignment horizontal="right"/>
    </xf>
    <xf numFmtId="0" fontId="8" fillId="2" borderId="10" xfId="0" applyFont="1" applyFill="1" applyBorder="1" applyAlignment="1">
      <alignment/>
    </xf>
    <xf numFmtId="0" fontId="60" fillId="2" borderId="10" xfId="0" applyFont="1" applyFill="1" applyBorder="1" applyAlignment="1">
      <alignment/>
    </xf>
    <xf numFmtId="0" fontId="61" fillId="2" borderId="10" xfId="0" applyFont="1" applyFill="1" applyBorder="1" applyAlignment="1">
      <alignment/>
    </xf>
    <xf numFmtId="0" fontId="0" fillId="2" borderId="11" xfId="0" applyFill="1" applyBorder="1" applyAlignment="1">
      <alignment horizontal="center"/>
    </xf>
    <xf numFmtId="0" fontId="0" fillId="2" borderId="11" xfId="0" applyFont="1" applyFill="1" applyBorder="1" applyAlignment="1">
      <alignment horizontal="center"/>
    </xf>
    <xf numFmtId="0" fontId="0" fillId="2" borderId="11" xfId="0" applyFill="1" applyBorder="1" applyAlignment="1">
      <alignment/>
    </xf>
    <xf numFmtId="2" fontId="3" fillId="2" borderId="12" xfId="0" applyNumberFormat="1" applyFont="1" applyFill="1" applyBorder="1" applyAlignment="1">
      <alignment horizontal="center"/>
    </xf>
    <xf numFmtId="2" fontId="3" fillId="2" borderId="12" xfId="0" applyNumberFormat="1" applyFont="1" applyFill="1" applyBorder="1" applyAlignment="1">
      <alignment/>
    </xf>
    <xf numFmtId="2" fontId="3" fillId="2" borderId="12" xfId="0" applyNumberFormat="1" applyFont="1" applyFill="1" applyBorder="1" applyAlignment="1">
      <alignment/>
    </xf>
    <xf numFmtId="167" fontId="3" fillId="2" borderId="12" xfId="0" applyNumberFormat="1" applyFont="1" applyFill="1" applyBorder="1" applyAlignment="1">
      <alignment/>
    </xf>
    <xf numFmtId="0" fontId="3" fillId="2" borderId="12" xfId="0" applyFont="1" applyFill="1" applyBorder="1" applyAlignment="1">
      <alignment/>
    </xf>
    <xf numFmtId="2" fontId="0" fillId="2" borderId="11" xfId="0" applyNumberFormat="1" applyFill="1" applyBorder="1" applyAlignment="1">
      <alignment horizontal="center"/>
    </xf>
    <xf numFmtId="1" fontId="3" fillId="2" borderId="12" xfId="0" applyNumberFormat="1" applyFont="1" applyFill="1" applyBorder="1" applyAlignment="1">
      <alignment/>
    </xf>
    <xf numFmtId="1" fontId="3" fillId="2" borderId="12" xfId="0" applyNumberFormat="1" applyFont="1" applyFill="1" applyBorder="1" applyAlignment="1">
      <alignment horizontal="center"/>
    </xf>
    <xf numFmtId="1" fontId="3" fillId="2" borderId="13" xfId="0" applyNumberFormat="1" applyFont="1" applyFill="1" applyBorder="1" applyAlignment="1">
      <alignment horizontal="center"/>
    </xf>
    <xf numFmtId="164" fontId="3" fillId="2" borderId="12" xfId="0" applyNumberFormat="1" applyFont="1" applyFill="1" applyBorder="1" applyAlignment="1">
      <alignment horizontal="center"/>
    </xf>
    <xf numFmtId="0" fontId="0" fillId="2" borderId="12" xfId="0" applyFill="1" applyBorder="1" applyAlignment="1">
      <alignment horizontal="center"/>
    </xf>
    <xf numFmtId="1" fontId="0" fillId="2" borderId="12" xfId="0" applyNumberFormat="1" applyFill="1" applyBorder="1" applyAlignment="1">
      <alignment horizontal="center"/>
    </xf>
    <xf numFmtId="0" fontId="62" fillId="2" borderId="10" xfId="0" applyFont="1" applyFill="1" applyBorder="1" applyAlignment="1">
      <alignment/>
    </xf>
    <xf numFmtId="2" fontId="2" fillId="2" borderId="10" xfId="0" applyNumberFormat="1" applyFont="1" applyFill="1" applyBorder="1" applyAlignment="1">
      <alignment horizontal="center"/>
    </xf>
    <xf numFmtId="2" fontId="0" fillId="2" borderId="10" xfId="0" applyNumberFormat="1" applyFont="1" applyFill="1" applyBorder="1" applyAlignment="1">
      <alignment horizontal="right"/>
    </xf>
    <xf numFmtId="0" fontId="0" fillId="2" borderId="10" xfId="0" applyFont="1" applyFill="1" applyBorder="1" applyAlignment="1">
      <alignment horizontal="right"/>
    </xf>
    <xf numFmtId="0" fontId="3" fillId="2" borderId="12" xfId="0" applyFont="1" applyFill="1" applyBorder="1" applyAlignment="1">
      <alignment horizontal="right"/>
    </xf>
    <xf numFmtId="2" fontId="3" fillId="2" borderId="10" xfId="0" applyNumberFormat="1" applyFont="1" applyFill="1" applyBorder="1" applyAlignment="1">
      <alignment horizontal="right"/>
    </xf>
    <xf numFmtId="164" fontId="0" fillId="2" borderId="11" xfId="0" applyNumberFormat="1" applyFill="1" applyBorder="1" applyAlignment="1">
      <alignment/>
    </xf>
    <xf numFmtId="164" fontId="3" fillId="2" borderId="12" xfId="0" applyNumberFormat="1" applyFont="1" applyFill="1" applyBorder="1" applyAlignment="1">
      <alignment horizontal="right"/>
    </xf>
    <xf numFmtId="164" fontId="0" fillId="2" borderId="11" xfId="0" applyNumberFormat="1" applyFill="1" applyBorder="1" applyAlignment="1">
      <alignment horizontal="right"/>
    </xf>
    <xf numFmtId="164" fontId="3" fillId="2" borderId="12" xfId="0" applyNumberFormat="1" applyFont="1" applyFill="1" applyBorder="1" applyAlignment="1">
      <alignment horizontal="right"/>
    </xf>
    <xf numFmtId="1" fontId="3" fillId="2" borderId="10" xfId="0" applyNumberFormat="1" applyFont="1" applyFill="1" applyBorder="1" applyAlignment="1">
      <alignment horizontal="center"/>
    </xf>
    <xf numFmtId="0" fontId="3" fillId="2" borderId="10" xfId="0" applyFont="1" applyFill="1" applyBorder="1" applyAlignment="1">
      <alignment horizontal="right"/>
    </xf>
    <xf numFmtId="9" fontId="0" fillId="2" borderId="10" xfId="0" applyNumberFormat="1" applyFill="1" applyBorder="1" applyAlignment="1">
      <alignment horizontal="right"/>
    </xf>
    <xf numFmtId="0" fontId="62" fillId="2" borderId="10" xfId="0" applyFont="1" applyFill="1" applyBorder="1" applyAlignment="1">
      <alignment/>
    </xf>
    <xf numFmtId="0" fontId="62" fillId="36" borderId="10" xfId="0" applyFont="1" applyFill="1" applyBorder="1" applyAlignment="1">
      <alignment vertical="center"/>
    </xf>
    <xf numFmtId="0" fontId="0" fillId="36" borderId="10" xfId="0" applyFont="1" applyFill="1" applyBorder="1" applyAlignment="1">
      <alignment vertical="center"/>
    </xf>
    <xf numFmtId="0" fontId="0" fillId="2" borderId="14" xfId="0" applyFill="1" applyBorder="1" applyAlignment="1">
      <alignment/>
    </xf>
    <xf numFmtId="0" fontId="0" fillId="2" borderId="13" xfId="0" applyFill="1" applyBorder="1" applyAlignment="1">
      <alignment/>
    </xf>
    <xf numFmtId="164" fontId="0" fillId="2" borderId="13" xfId="0" applyNumberFormat="1" applyFill="1" applyBorder="1" applyAlignment="1">
      <alignment/>
    </xf>
    <xf numFmtId="2" fontId="0" fillId="2" borderId="0" xfId="0" applyNumberFormat="1" applyFill="1" applyBorder="1" applyAlignment="1">
      <alignment/>
    </xf>
    <xf numFmtId="1" fontId="3" fillId="2" borderId="12" xfId="0" applyNumberFormat="1" applyFont="1" applyFill="1" applyBorder="1" applyAlignment="1">
      <alignment/>
    </xf>
    <xf numFmtId="0" fontId="0" fillId="2" borderId="0" xfId="0" applyFill="1" applyBorder="1" applyAlignment="1">
      <alignment/>
    </xf>
    <xf numFmtId="0" fontId="63" fillId="2" borderId="0" xfId="0" applyFont="1" applyFill="1" applyBorder="1" applyAlignment="1">
      <alignment/>
    </xf>
    <xf numFmtId="3" fontId="0" fillId="2" borderId="0" xfId="0" applyNumberFormat="1" applyFill="1" applyBorder="1" applyAlignment="1">
      <alignment/>
    </xf>
    <xf numFmtId="0" fontId="3" fillId="2" borderId="0" xfId="0" applyFont="1" applyFill="1" applyBorder="1" applyAlignment="1">
      <alignment/>
    </xf>
    <xf numFmtId="1" fontId="0" fillId="2" borderId="0" xfId="0" applyNumberFormat="1" applyFill="1" applyBorder="1" applyAlignment="1">
      <alignment horizontal="center"/>
    </xf>
    <xf numFmtId="1" fontId="3" fillId="2" borderId="0" xfId="0" applyNumberFormat="1" applyFont="1" applyFill="1" applyBorder="1" applyAlignment="1">
      <alignment horizontal="center"/>
    </xf>
    <xf numFmtId="0" fontId="60" fillId="2" borderId="0" xfId="0" applyFont="1" applyFill="1" applyBorder="1" applyAlignment="1">
      <alignment/>
    </xf>
    <xf numFmtId="2" fontId="0" fillId="2" borderId="0" xfId="0" applyNumberForma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0" xfId="0" applyFill="1" applyBorder="1" applyAlignment="1">
      <alignment horizontal="center"/>
    </xf>
    <xf numFmtId="0" fontId="59" fillId="2" borderId="0" xfId="0" applyFont="1" applyFill="1" applyBorder="1" applyAlignment="1">
      <alignment/>
    </xf>
    <xf numFmtId="3" fontId="3" fillId="2" borderId="0" xfId="0" applyNumberFormat="1" applyFont="1" applyFill="1" applyBorder="1" applyAlignment="1">
      <alignment horizontal="center"/>
    </xf>
    <xf numFmtId="1" fontId="0" fillId="2" borderId="0" xfId="0" applyNumberForma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xf>
    <xf numFmtId="1" fontId="0" fillId="2" borderId="0" xfId="0" applyNumberFormat="1" applyFill="1" applyBorder="1" applyAlignment="1">
      <alignment horizontal="right"/>
    </xf>
    <xf numFmtId="164" fontId="0" fillId="2" borderId="0" xfId="0" applyNumberForma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center"/>
    </xf>
    <xf numFmtId="2" fontId="0" fillId="2" borderId="0" xfId="0" applyNumberFormat="1" applyFill="1" applyBorder="1" applyAlignment="1">
      <alignment horizontal="right"/>
    </xf>
    <xf numFmtId="0" fontId="0" fillId="2" borderId="0" xfId="0" applyFill="1" applyBorder="1" applyAlignment="1">
      <alignment horizontal="right"/>
    </xf>
    <xf numFmtId="2" fontId="3" fillId="2" borderId="0" xfId="0" applyNumberFormat="1" applyFont="1" applyFill="1" applyBorder="1" applyAlignment="1">
      <alignment horizontal="right"/>
    </xf>
    <xf numFmtId="1" fontId="3" fillId="2" borderId="0" xfId="0" applyNumberFormat="1" applyFont="1" applyFill="1" applyBorder="1" applyAlignment="1">
      <alignment horizontal="right"/>
    </xf>
    <xf numFmtId="3" fontId="0" fillId="2" borderId="0" xfId="0" applyNumberFormat="1" applyFill="1" applyBorder="1" applyAlignment="1">
      <alignment horizontal="right"/>
    </xf>
    <xf numFmtId="3" fontId="0" fillId="2" borderId="0" xfId="0" applyNumberFormat="1" applyFill="1" applyBorder="1" applyAlignment="1">
      <alignment horizontal="center"/>
    </xf>
    <xf numFmtId="0" fontId="0" fillId="2" borderId="0" xfId="0" applyFill="1" applyBorder="1" applyAlignment="1">
      <alignment/>
    </xf>
    <xf numFmtId="2" fontId="3" fillId="2" borderId="0" xfId="0" applyNumberFormat="1" applyFont="1" applyFill="1" applyBorder="1" applyAlignment="1">
      <alignment horizontal="center"/>
    </xf>
    <xf numFmtId="3" fontId="0" fillId="2" borderId="0" xfId="0" applyNumberFormat="1" applyFont="1" applyFill="1" applyBorder="1" applyAlignment="1">
      <alignment horizontal="center"/>
    </xf>
    <xf numFmtId="9" fontId="0" fillId="2" borderId="0" xfId="0" applyNumberFormat="1" applyFill="1" applyBorder="1" applyAlignment="1">
      <alignment horizontal="center"/>
    </xf>
    <xf numFmtId="2" fontId="6" fillId="2" borderId="0" xfId="0" applyNumberFormat="1" applyFont="1" applyFill="1" applyBorder="1" applyAlignment="1">
      <alignment horizontal="center"/>
    </xf>
    <xf numFmtId="3" fontId="6" fillId="2" borderId="0" xfId="0" applyNumberFormat="1" applyFont="1" applyFill="1" applyBorder="1" applyAlignment="1">
      <alignment horizontal="center"/>
    </xf>
    <xf numFmtId="9" fontId="6" fillId="2" borderId="0" xfId="0" applyNumberFormat="1" applyFont="1" applyFill="1" applyBorder="1" applyAlignment="1">
      <alignment horizontal="center"/>
    </xf>
    <xf numFmtId="9" fontId="0" fillId="2" borderId="0" xfId="0" applyNumberFormat="1" applyFill="1" applyBorder="1" applyAlignment="1">
      <alignment/>
    </xf>
    <xf numFmtId="9" fontId="3" fillId="2" borderId="0" xfId="0" applyNumberFormat="1" applyFont="1" applyFill="1" applyBorder="1" applyAlignment="1">
      <alignment/>
    </xf>
    <xf numFmtId="0" fontId="62" fillId="36" borderId="0" xfId="0" applyFont="1" applyFill="1" applyBorder="1" applyAlignment="1">
      <alignment vertical="center"/>
    </xf>
    <xf numFmtId="0" fontId="0" fillId="36" borderId="0" xfId="0" applyFont="1" applyFill="1" applyBorder="1" applyAlignment="1">
      <alignment vertical="center"/>
    </xf>
    <xf numFmtId="0" fontId="0" fillId="37" borderId="0" xfId="0" applyFill="1" applyBorder="1" applyAlignment="1">
      <alignment/>
    </xf>
    <xf numFmtId="0" fontId="4" fillId="2" borderId="0" xfId="0" applyFont="1" applyFill="1" applyBorder="1" applyAlignment="1">
      <alignment/>
    </xf>
    <xf numFmtId="0" fontId="3" fillId="2" borderId="15" xfId="0" applyFont="1" applyFill="1" applyBorder="1" applyAlignment="1">
      <alignment/>
    </xf>
    <xf numFmtId="0" fontId="0" fillId="2" borderId="15" xfId="0" applyFill="1" applyBorder="1" applyAlignment="1">
      <alignment/>
    </xf>
    <xf numFmtId="0" fontId="0" fillId="2" borderId="15" xfId="0" applyFill="1" applyBorder="1" applyAlignment="1">
      <alignment horizontal="center"/>
    </xf>
    <xf numFmtId="0" fontId="0" fillId="2" borderId="15" xfId="0" applyFill="1" applyBorder="1" applyAlignment="1">
      <alignment horizontal="right"/>
    </xf>
    <xf numFmtId="2" fontId="3" fillId="2" borderId="15" xfId="0" applyNumberFormat="1" applyFont="1" applyFill="1" applyBorder="1" applyAlignment="1">
      <alignment horizontal="right"/>
    </xf>
    <xf numFmtId="1" fontId="3" fillId="2" borderId="15" xfId="0" applyNumberFormat="1" applyFont="1" applyFill="1" applyBorder="1" applyAlignment="1">
      <alignment horizontal="right"/>
    </xf>
    <xf numFmtId="0" fontId="0" fillId="2" borderId="16" xfId="0" applyFill="1" applyBorder="1" applyAlignment="1">
      <alignment/>
    </xf>
    <xf numFmtId="0" fontId="0" fillId="2" borderId="17" xfId="0" applyFill="1" applyBorder="1" applyAlignment="1">
      <alignment/>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xf>
    <xf numFmtId="0" fontId="0" fillId="2" borderId="20" xfId="0" applyFill="1" applyBorder="1" applyAlignment="1">
      <alignment horizontal="center"/>
    </xf>
    <xf numFmtId="0" fontId="0" fillId="2" borderId="21" xfId="0" applyFill="1" applyBorder="1" applyAlignment="1">
      <alignment/>
    </xf>
    <xf numFmtId="0" fontId="0" fillId="2" borderId="22" xfId="0" applyFill="1" applyBorder="1" applyAlignment="1">
      <alignment/>
    </xf>
    <xf numFmtId="0" fontId="0" fillId="2" borderId="22" xfId="0" applyFill="1" applyBorder="1" applyAlignment="1">
      <alignment horizontal="center"/>
    </xf>
    <xf numFmtId="0" fontId="0" fillId="2" borderId="23" xfId="0" applyFill="1" applyBorder="1" applyAlignment="1">
      <alignment horizontal="center"/>
    </xf>
    <xf numFmtId="1" fontId="0" fillId="2" borderId="24" xfId="0" applyNumberFormat="1" applyFill="1" applyBorder="1" applyAlignment="1">
      <alignment horizontal="center"/>
    </xf>
    <xf numFmtId="3" fontId="3" fillId="2" borderId="24" xfId="0" applyNumberFormat="1" applyFont="1" applyFill="1" applyBorder="1" applyAlignment="1">
      <alignment horizontal="center"/>
    </xf>
    <xf numFmtId="2" fontId="3" fillId="2" borderId="24" xfId="0" applyNumberFormat="1" applyFont="1" applyFill="1" applyBorder="1" applyAlignment="1">
      <alignment horizontal="right"/>
    </xf>
    <xf numFmtId="1" fontId="3" fillId="2" borderId="24" xfId="0" applyNumberFormat="1" applyFont="1" applyFill="1" applyBorder="1" applyAlignment="1">
      <alignment horizontal="right"/>
    </xf>
    <xf numFmtId="3" fontId="3" fillId="2" borderId="24" xfId="0" applyNumberFormat="1" applyFont="1" applyFill="1" applyBorder="1" applyAlignment="1">
      <alignment horizontal="right"/>
    </xf>
    <xf numFmtId="0" fontId="0" fillId="2" borderId="0" xfId="0" applyFill="1" applyBorder="1" applyAlignment="1">
      <alignment horizontal="center" vertical="center"/>
    </xf>
    <xf numFmtId="9" fontId="3" fillId="2" borderId="24" xfId="0" applyNumberFormat="1" applyFont="1" applyFill="1" applyBorder="1" applyAlignment="1">
      <alignment horizontal="center"/>
    </xf>
    <xf numFmtId="1" fontId="3" fillId="2" borderId="0" xfId="0" applyNumberFormat="1" applyFont="1" applyFill="1" applyBorder="1" applyAlignment="1">
      <alignment horizontal="center"/>
    </xf>
    <xf numFmtId="3" fontId="59" fillId="2" borderId="0" xfId="0" applyNumberFormat="1" applyFont="1" applyFill="1" applyBorder="1" applyAlignment="1">
      <alignment horizontal="center"/>
    </xf>
    <xf numFmtId="10" fontId="0" fillId="2" borderId="0" xfId="0" applyNumberFormat="1" applyFill="1" applyBorder="1" applyAlignment="1">
      <alignment/>
    </xf>
    <xf numFmtId="10" fontId="59" fillId="2" borderId="0" xfId="0" applyNumberFormat="1" applyFont="1" applyFill="1" applyBorder="1" applyAlignment="1">
      <alignment/>
    </xf>
    <xf numFmtId="3" fontId="62" fillId="2" borderId="0" xfId="0" applyNumberFormat="1" applyFont="1" applyFill="1" applyBorder="1" applyAlignment="1">
      <alignment horizontal="center"/>
    </xf>
    <xf numFmtId="0" fontId="2" fillId="2" borderId="0" xfId="0" applyFont="1" applyFill="1" applyBorder="1" applyAlignment="1">
      <alignment horizontal="center"/>
    </xf>
    <xf numFmtId="2" fontId="62" fillId="36" borderId="0" xfId="0" applyNumberFormat="1" applyFont="1" applyFill="1" applyAlignment="1">
      <alignment vertical="center"/>
    </xf>
    <xf numFmtId="2" fontId="59" fillId="36" borderId="0" xfId="0" applyNumberFormat="1" applyFont="1" applyFill="1" applyAlignment="1">
      <alignment vertical="center"/>
    </xf>
    <xf numFmtId="2" fontId="59" fillId="2" borderId="0" xfId="0" applyNumberFormat="1" applyFont="1" applyFill="1" applyAlignment="1">
      <alignment/>
    </xf>
    <xf numFmtId="2" fontId="62" fillId="2" borderId="0" xfId="0" applyNumberFormat="1" applyFont="1" applyFill="1" applyBorder="1" applyAlignment="1">
      <alignment/>
    </xf>
    <xf numFmtId="2" fontId="59" fillId="2" borderId="0" xfId="0" applyNumberFormat="1" applyFont="1" applyFill="1" applyBorder="1" applyAlignment="1">
      <alignment/>
    </xf>
    <xf numFmtId="0" fontId="2" fillId="2" borderId="10" xfId="0" applyFont="1" applyFill="1" applyBorder="1" applyAlignment="1">
      <alignment/>
    </xf>
    <xf numFmtId="0" fontId="0" fillId="2" borderId="25" xfId="0" applyFill="1" applyBorder="1" applyAlignment="1">
      <alignment/>
    </xf>
    <xf numFmtId="0" fontId="0" fillId="2" borderId="26" xfId="0" applyFill="1" applyBorder="1" applyAlignment="1">
      <alignment/>
    </xf>
    <xf numFmtId="3" fontId="3" fillId="2" borderId="0" xfId="0" applyNumberFormat="1" applyFont="1" applyFill="1" applyBorder="1" applyAlignment="1">
      <alignment horizontal="center"/>
    </xf>
    <xf numFmtId="164" fontId="0" fillId="2" borderId="0" xfId="0" applyNumberFormat="1" applyFont="1" applyFill="1" applyBorder="1" applyAlignment="1">
      <alignment horizontal="center"/>
    </xf>
    <xf numFmtId="2" fontId="0" fillId="2" borderId="0" xfId="0" applyNumberFormat="1" applyFont="1" applyFill="1" applyBorder="1" applyAlignment="1">
      <alignment horizontal="center"/>
    </xf>
    <xf numFmtId="1" fontId="0" fillId="2" borderId="0" xfId="0" applyNumberFormat="1" applyFont="1" applyFill="1" applyBorder="1" applyAlignment="1">
      <alignment horizontal="center"/>
    </xf>
    <xf numFmtId="2" fontId="3" fillId="2" borderId="24" xfId="0" applyNumberFormat="1" applyFont="1" applyFill="1" applyBorder="1" applyAlignment="1">
      <alignment horizontal="center"/>
    </xf>
    <xf numFmtId="1" fontId="3" fillId="2" borderId="24" xfId="0" applyNumberFormat="1" applyFont="1" applyFill="1" applyBorder="1" applyAlignment="1">
      <alignment horizontal="center"/>
    </xf>
    <xf numFmtId="2" fontId="3" fillId="2" borderId="27" xfId="0" applyNumberFormat="1" applyFont="1" applyFill="1" applyBorder="1" applyAlignment="1">
      <alignment horizontal="center"/>
    </xf>
    <xf numFmtId="1" fontId="3" fillId="2" borderId="27" xfId="0" applyNumberFormat="1" applyFont="1" applyFill="1" applyBorder="1" applyAlignment="1">
      <alignment horizontal="center"/>
    </xf>
    <xf numFmtId="0" fontId="0" fillId="2" borderId="0" xfId="0" applyFill="1" applyBorder="1" applyAlignment="1">
      <alignment horizontal="left"/>
    </xf>
    <xf numFmtId="9" fontId="3" fillId="2" borderId="0" xfId="0" applyNumberFormat="1" applyFont="1" applyFill="1" applyBorder="1" applyAlignment="1">
      <alignment horizontal="center"/>
    </xf>
    <xf numFmtId="0" fontId="64" fillId="0" borderId="0" xfId="54" applyFont="1">
      <alignment/>
      <protection/>
    </xf>
    <xf numFmtId="2" fontId="0" fillId="2" borderId="0" xfId="54" applyNumberFormat="1" applyFill="1">
      <alignment/>
      <protection/>
    </xf>
    <xf numFmtId="0" fontId="65" fillId="0" borderId="0" xfId="54" applyFont="1" applyAlignment="1">
      <alignment horizontal="center"/>
      <protection/>
    </xf>
    <xf numFmtId="0" fontId="64" fillId="0" borderId="0" xfId="54" applyFont="1" applyAlignment="1">
      <alignment horizontal="center"/>
      <protection/>
    </xf>
    <xf numFmtId="0" fontId="65" fillId="0" borderId="0" xfId="54" applyFont="1">
      <alignment/>
      <protection/>
    </xf>
    <xf numFmtId="0" fontId="64" fillId="0" borderId="0" xfId="54" applyFont="1" applyAlignment="1">
      <alignment wrapText="1"/>
      <protection/>
    </xf>
    <xf numFmtId="0" fontId="64" fillId="0" borderId="0" xfId="54" applyFont="1" applyAlignment="1">
      <alignment vertical="center" wrapText="1"/>
      <protection/>
    </xf>
    <xf numFmtId="2" fontId="35" fillId="2" borderId="0" xfId="54" applyNumberFormat="1" applyFont="1" applyFill="1">
      <alignment/>
      <protection/>
    </xf>
    <xf numFmtId="2" fontId="66" fillId="2" borderId="0" xfId="54" applyNumberFormat="1" applyFont="1" applyFill="1" applyAlignment="1">
      <alignment vertical="center" wrapText="1"/>
      <protection/>
    </xf>
    <xf numFmtId="2" fontId="36" fillId="2" borderId="0" xfId="54" applyNumberFormat="1" applyFont="1" applyFill="1">
      <alignment/>
      <protection/>
    </xf>
    <xf numFmtId="2" fontId="63" fillId="38" borderId="0" xfId="0" applyNumberFormat="1" applyFont="1" applyFill="1" applyAlignment="1">
      <alignment/>
    </xf>
    <xf numFmtId="0" fontId="2" fillId="2" borderId="10" xfId="0" applyFont="1" applyFill="1" applyBorder="1" applyAlignment="1">
      <alignment horizontal="center"/>
    </xf>
    <xf numFmtId="0" fontId="0" fillId="2" borderId="10" xfId="0" applyFill="1" applyBorder="1" applyAlignment="1">
      <alignment/>
    </xf>
    <xf numFmtId="0" fontId="0" fillId="2" borderId="10" xfId="0" applyFill="1" applyBorder="1" applyAlignment="1">
      <alignment horizontal="center"/>
    </xf>
    <xf numFmtId="0" fontId="64" fillId="39" borderId="0" xfId="54" applyFont="1" applyFill="1" applyAlignment="1">
      <alignment horizontal="left" vertical="center" wrapText="1"/>
      <protection/>
    </xf>
    <xf numFmtId="0" fontId="9" fillId="37" borderId="0" xfId="0" applyFont="1" applyFill="1" applyBorder="1" applyAlignment="1">
      <alignment horizontal="center"/>
    </xf>
    <xf numFmtId="0" fontId="62" fillId="36" borderId="0" xfId="0" applyFont="1" applyFill="1" applyBorder="1" applyAlignment="1">
      <alignment vertical="center"/>
    </xf>
    <xf numFmtId="0" fontId="3" fillId="2" borderId="0" xfId="0" applyFont="1" applyFill="1" applyBorder="1" applyAlignment="1">
      <alignment horizontal="center"/>
    </xf>
    <xf numFmtId="0" fontId="2" fillId="2" borderId="0" xfId="0" applyFont="1" applyFill="1" applyBorder="1" applyAlignment="1">
      <alignment horizontal="center"/>
    </xf>
    <xf numFmtId="2" fontId="63" fillId="38" borderId="0" xfId="0" applyNumberFormat="1" applyFont="1" applyFill="1" applyAlignment="1">
      <alignment horizontal="left"/>
    </xf>
    <xf numFmtId="0" fontId="2" fillId="2" borderId="10" xfId="0" applyFont="1" applyFill="1" applyBorder="1" applyAlignment="1">
      <alignment horizontal="center"/>
    </xf>
    <xf numFmtId="0" fontId="4" fillId="2" borderId="10" xfId="0" applyFont="1" applyFill="1" applyBorder="1" applyAlignment="1">
      <alignment horizontal="center"/>
    </xf>
    <xf numFmtId="2" fontId="63" fillId="38" borderId="0" xfId="0" applyNumberFormat="1" applyFont="1" applyFill="1" applyAlignment="1">
      <alignment horizontal="center"/>
    </xf>
    <xf numFmtId="0" fontId="4" fillId="2" borderId="10" xfId="0" applyFont="1" applyFill="1" applyBorder="1" applyAlignment="1">
      <alignment/>
    </xf>
    <xf numFmtId="2" fontId="2" fillId="2" borderId="10" xfId="0" applyNumberFormat="1" applyFont="1" applyFill="1" applyBorder="1" applyAlignment="1">
      <alignment horizontal="center"/>
    </xf>
    <xf numFmtId="0" fontId="62" fillId="2" borderId="10" xfId="0" applyFont="1" applyFill="1" applyBorder="1" applyAlignment="1">
      <alignment horizontal="center"/>
    </xf>
    <xf numFmtId="0" fontId="62" fillId="2" borderId="10" xfId="0" applyFont="1" applyFill="1" applyBorder="1" applyAlignment="1">
      <alignment/>
    </xf>
    <xf numFmtId="0" fontId="3" fillId="2" borderId="10" xfId="0" applyFont="1" applyFill="1" applyBorder="1" applyAlignment="1">
      <alignment horizontal="center"/>
    </xf>
    <xf numFmtId="0" fontId="3" fillId="2" borderId="10" xfId="0" applyFont="1" applyFill="1" applyBorder="1" applyAlignment="1">
      <alignment/>
    </xf>
    <xf numFmtId="0" fontId="0" fillId="2" borderId="25" xfId="0" applyFill="1" applyBorder="1" applyAlignment="1">
      <alignment horizontal="center"/>
    </xf>
    <xf numFmtId="0" fontId="0" fillId="2" borderId="26" xfId="0" applyFill="1" applyBorder="1" applyAlignment="1">
      <alignment horizontal="center"/>
    </xf>
    <xf numFmtId="0" fontId="0" fillId="2" borderId="14" xfId="0" applyFill="1" applyBorder="1" applyAlignment="1">
      <alignment horizontal="center"/>
    </xf>
    <xf numFmtId="0" fontId="2" fillId="2" borderId="10" xfId="0" applyFont="1" applyFill="1" applyBorder="1" applyAlignment="1">
      <alignment/>
    </xf>
    <xf numFmtId="0" fontId="67" fillId="2" borderId="0" xfId="0" applyFont="1" applyFill="1" applyBorder="1" applyAlignment="1">
      <alignment/>
    </xf>
    <xf numFmtId="0" fontId="67" fillId="37" borderId="0" xfId="0" applyFont="1" applyFill="1" applyBorder="1" applyAlignment="1">
      <alignment/>
    </xf>
    <xf numFmtId="0" fontId="68" fillId="37" borderId="0" xfId="0" applyFont="1" applyFill="1" applyBorder="1" applyAlignment="1">
      <alignment/>
    </xf>
    <xf numFmtId="0" fontId="69" fillId="37" borderId="0" xfId="0" applyFont="1" applyFill="1" applyBorder="1" applyAlignment="1">
      <alignment horizontal="center"/>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de"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2" xfId="54"/>
    <cellStyle name="Note" xfId="55"/>
    <cellStyle name="Outpu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0000"/>
      <rgbColor rgb="000000FF"/>
      <rgbColor rgb="0000FFFF"/>
      <rgbColor rgb="00FF00FF"/>
      <rgbColor rgb="00000080"/>
      <rgbColor rgb="00FFFFFF"/>
      <rgbColor rgb="00B0FFFF"/>
      <rgbColor rgb="00FFB0B0"/>
      <rgbColor rgb="00FFB0FF"/>
      <rgbColor rgb="00FFA0D0"/>
      <rgbColor rgb="00FFFFBF"/>
      <rgbColor rgb="00BFFFFF"/>
      <rgbColor rgb="00E6E6E6"/>
      <rgbColor rgb="00FF0080"/>
      <rgbColor rgb="00FFFF00"/>
      <rgbColor rgb="0000FF00"/>
      <rgbColor rgb="00C00060"/>
      <rgbColor rgb="00FFFF80"/>
      <rgbColor rgb="0080FF00"/>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104</xdr:row>
      <xdr:rowOff>66675</xdr:rowOff>
    </xdr:from>
    <xdr:to>
      <xdr:col>7</xdr:col>
      <xdr:colOff>676275</xdr:colOff>
      <xdr:row>110</xdr:row>
      <xdr:rowOff>19050</xdr:rowOff>
    </xdr:to>
    <xdr:pic>
      <xdr:nvPicPr>
        <xdr:cNvPr id="1" name="Picture 2" descr=" "/>
        <xdr:cNvPicPr preferRelativeResize="1">
          <a:picLocks noChangeAspect="1"/>
        </xdr:cNvPicPr>
      </xdr:nvPicPr>
      <xdr:blipFill>
        <a:blip r:embed="rId1"/>
        <a:stretch>
          <a:fillRect/>
        </a:stretch>
      </xdr:blipFill>
      <xdr:spPr>
        <a:xfrm>
          <a:off x="2486025" y="19659600"/>
          <a:ext cx="30765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847725</xdr:colOff>
      <xdr:row>34</xdr:row>
      <xdr:rowOff>66675</xdr:rowOff>
    </xdr:from>
    <xdr:to>
      <xdr:col>6</xdr:col>
      <xdr:colOff>133350</xdr:colOff>
      <xdr:row>40</xdr:row>
      <xdr:rowOff>19050</xdr:rowOff>
    </xdr:to>
    <xdr:pic>
      <xdr:nvPicPr>
        <xdr:cNvPr id="1" name="Picture 2"/>
        <xdr:cNvPicPr preferRelativeResize="1">
          <a:picLocks noChangeAspect="1"/>
        </xdr:cNvPicPr>
      </xdr:nvPicPr>
      <xdr:blipFill>
        <a:blip r:embed="rId1"/>
        <a:stretch>
          <a:fillRect/>
        </a:stretch>
      </xdr:blipFill>
      <xdr:spPr>
        <a:xfrm>
          <a:off x="2066925" y="5800725"/>
          <a:ext cx="30765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1352550</xdr:colOff>
      <xdr:row>44</xdr:row>
      <xdr:rowOff>9525</xdr:rowOff>
    </xdr:from>
    <xdr:to>
      <xdr:col>6</xdr:col>
      <xdr:colOff>266700</xdr:colOff>
      <xdr:row>49</xdr:row>
      <xdr:rowOff>123825</xdr:rowOff>
    </xdr:to>
    <xdr:pic>
      <xdr:nvPicPr>
        <xdr:cNvPr id="1" name="Picture 2" descr=" "/>
        <xdr:cNvPicPr preferRelativeResize="1">
          <a:picLocks noChangeAspect="1"/>
        </xdr:cNvPicPr>
      </xdr:nvPicPr>
      <xdr:blipFill>
        <a:blip r:embed="rId1"/>
        <a:stretch>
          <a:fillRect/>
        </a:stretch>
      </xdr:blipFill>
      <xdr:spPr>
        <a:xfrm>
          <a:off x="1962150" y="7496175"/>
          <a:ext cx="30765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1543050</xdr:colOff>
      <xdr:row>36</xdr:row>
      <xdr:rowOff>57150</xdr:rowOff>
    </xdr:from>
    <xdr:to>
      <xdr:col>6</xdr:col>
      <xdr:colOff>333375</xdr:colOff>
      <xdr:row>42</xdr:row>
      <xdr:rowOff>9525</xdr:rowOff>
    </xdr:to>
    <xdr:pic>
      <xdr:nvPicPr>
        <xdr:cNvPr id="1" name="Picture 2" descr=" "/>
        <xdr:cNvPicPr preferRelativeResize="1">
          <a:picLocks noChangeAspect="1"/>
        </xdr:cNvPicPr>
      </xdr:nvPicPr>
      <xdr:blipFill>
        <a:blip r:embed="rId1"/>
        <a:stretch>
          <a:fillRect/>
        </a:stretch>
      </xdr:blipFill>
      <xdr:spPr>
        <a:xfrm>
          <a:off x="2152650" y="6210300"/>
          <a:ext cx="30765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1609725</xdr:colOff>
      <xdr:row>63</xdr:row>
      <xdr:rowOff>9525</xdr:rowOff>
    </xdr:from>
    <xdr:to>
      <xdr:col>6</xdr:col>
      <xdr:colOff>200025</xdr:colOff>
      <xdr:row>68</xdr:row>
      <xdr:rowOff>123825</xdr:rowOff>
    </xdr:to>
    <xdr:pic>
      <xdr:nvPicPr>
        <xdr:cNvPr id="1" name="Picture 2" descr=" "/>
        <xdr:cNvPicPr preferRelativeResize="1">
          <a:picLocks noChangeAspect="1"/>
        </xdr:cNvPicPr>
      </xdr:nvPicPr>
      <xdr:blipFill>
        <a:blip r:embed="rId1"/>
        <a:stretch>
          <a:fillRect/>
        </a:stretch>
      </xdr:blipFill>
      <xdr:spPr>
        <a:xfrm>
          <a:off x="2314575" y="10610850"/>
          <a:ext cx="30765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762000</xdr:colOff>
      <xdr:row>35</xdr:row>
      <xdr:rowOff>123825</xdr:rowOff>
    </xdr:from>
    <xdr:to>
      <xdr:col>7</xdr:col>
      <xdr:colOff>76200</xdr:colOff>
      <xdr:row>41</xdr:row>
      <xdr:rowOff>76200</xdr:rowOff>
    </xdr:to>
    <xdr:pic>
      <xdr:nvPicPr>
        <xdr:cNvPr id="1" name="Picture 2" descr=" "/>
        <xdr:cNvPicPr preferRelativeResize="1">
          <a:picLocks noChangeAspect="1"/>
        </xdr:cNvPicPr>
      </xdr:nvPicPr>
      <xdr:blipFill>
        <a:blip r:embed="rId1"/>
        <a:stretch>
          <a:fillRect/>
        </a:stretch>
      </xdr:blipFill>
      <xdr:spPr>
        <a:xfrm>
          <a:off x="2628900" y="6096000"/>
          <a:ext cx="307657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27</xdr:row>
      <xdr:rowOff>28575</xdr:rowOff>
    </xdr:from>
    <xdr:to>
      <xdr:col>8</xdr:col>
      <xdr:colOff>571500</xdr:colOff>
      <xdr:row>32</xdr:row>
      <xdr:rowOff>142875</xdr:rowOff>
    </xdr:to>
    <xdr:pic>
      <xdr:nvPicPr>
        <xdr:cNvPr id="1" name="Picture 2" descr=" "/>
        <xdr:cNvPicPr preferRelativeResize="1">
          <a:picLocks noChangeAspect="1"/>
        </xdr:cNvPicPr>
      </xdr:nvPicPr>
      <xdr:blipFill>
        <a:blip r:embed="rId1"/>
        <a:stretch>
          <a:fillRect/>
        </a:stretch>
      </xdr:blipFill>
      <xdr:spPr>
        <a:xfrm>
          <a:off x="1371600" y="4667250"/>
          <a:ext cx="307657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2152650</xdr:colOff>
      <xdr:row>34</xdr:row>
      <xdr:rowOff>104775</xdr:rowOff>
    </xdr:from>
    <xdr:to>
      <xdr:col>8</xdr:col>
      <xdr:colOff>38100</xdr:colOff>
      <xdr:row>40</xdr:row>
      <xdr:rowOff>57150</xdr:rowOff>
    </xdr:to>
    <xdr:pic>
      <xdr:nvPicPr>
        <xdr:cNvPr id="1" name="Picture 2" descr=" "/>
        <xdr:cNvPicPr preferRelativeResize="1">
          <a:picLocks noChangeAspect="1"/>
        </xdr:cNvPicPr>
      </xdr:nvPicPr>
      <xdr:blipFill>
        <a:blip r:embed="rId1"/>
        <a:stretch>
          <a:fillRect/>
        </a:stretch>
      </xdr:blipFill>
      <xdr:spPr>
        <a:xfrm>
          <a:off x="2247900" y="5943600"/>
          <a:ext cx="3076575"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1924050</xdr:colOff>
      <xdr:row>57</xdr:row>
      <xdr:rowOff>133350</xdr:rowOff>
    </xdr:from>
    <xdr:to>
      <xdr:col>7</xdr:col>
      <xdr:colOff>57150</xdr:colOff>
      <xdr:row>63</xdr:row>
      <xdr:rowOff>85725</xdr:rowOff>
    </xdr:to>
    <xdr:pic>
      <xdr:nvPicPr>
        <xdr:cNvPr id="1" name="Picture 2" descr=" "/>
        <xdr:cNvPicPr preferRelativeResize="1">
          <a:picLocks noChangeAspect="1"/>
        </xdr:cNvPicPr>
      </xdr:nvPicPr>
      <xdr:blipFill>
        <a:blip r:embed="rId1"/>
        <a:stretch>
          <a:fillRect/>
        </a:stretch>
      </xdr:blipFill>
      <xdr:spPr>
        <a:xfrm>
          <a:off x="2657475" y="9744075"/>
          <a:ext cx="3076575"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1838325</xdr:colOff>
      <xdr:row>52</xdr:row>
      <xdr:rowOff>133350</xdr:rowOff>
    </xdr:from>
    <xdr:to>
      <xdr:col>5</xdr:col>
      <xdr:colOff>895350</xdr:colOff>
      <xdr:row>58</xdr:row>
      <xdr:rowOff>85725</xdr:rowOff>
    </xdr:to>
    <xdr:pic>
      <xdr:nvPicPr>
        <xdr:cNvPr id="1" name="Picture 2" descr=" "/>
        <xdr:cNvPicPr preferRelativeResize="1">
          <a:picLocks noChangeAspect="1"/>
        </xdr:cNvPicPr>
      </xdr:nvPicPr>
      <xdr:blipFill>
        <a:blip r:embed="rId1"/>
        <a:stretch>
          <a:fillRect/>
        </a:stretch>
      </xdr:blipFill>
      <xdr:spPr>
        <a:xfrm>
          <a:off x="3009900" y="8877300"/>
          <a:ext cx="307657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outlookuga-my.sharepoint.com/Users\gfonsah.CAESAD\Documents\Fruit%20Budget\Pecans\2015%20Fonsah-Muscadine%20Budget%201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hancock\AppData\Local\Microsoft\Windows\INetCache\Content.Outlook\7T2SE9Y6\2024RR_Bell_Pepper_Budget_01_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fonsah\Downloads\2024_Sweet_Corn_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 val="Bud"/>
      <sheetName val="Yr1"/>
      <sheetName val="Yr2"/>
      <sheetName val="Yr3"/>
      <sheetName val="Chem"/>
      <sheetName val="Mach"/>
      <sheetName val="FxdCost"/>
      <sheetName val="Drip"/>
      <sheetName val="SSet"/>
      <sheetName val="Returns"/>
      <sheetName val="Instructions"/>
      <sheetName val="M"/>
      <sheetName val="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claimer"/>
      <sheetName val="Main"/>
      <sheetName val="Irrigation"/>
      <sheetName val="Fixed_Cost"/>
      <sheetName val="Fixed_Payment"/>
      <sheetName val="Input"/>
    </sheetNames>
    <sheetDataSet>
      <sheetData sheetId="1">
        <row r="63">
          <cell r="I63">
            <v>19558.25625847422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sclaimer"/>
      <sheetName val="Main"/>
      <sheetName val="Irrigation"/>
      <sheetName val="Fixed_Cost"/>
      <sheetName val="Fixed_Payment"/>
    </sheetNames>
    <sheetDataSet>
      <sheetData sheetId="1">
        <row r="23">
          <cell r="F23">
            <v>450</v>
          </cell>
        </row>
        <row r="24">
          <cell r="F24">
            <v>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AE115"/>
  <sheetViews>
    <sheetView zoomScalePageLayoutView="0" workbookViewId="0" topLeftCell="A1">
      <selection activeCell="D15" sqref="D15"/>
    </sheetView>
  </sheetViews>
  <sheetFormatPr defaultColWidth="9.140625" defaultRowHeight="12.75"/>
  <cols>
    <col min="1" max="7" width="9.140625" style="1" customWidth="1"/>
    <col min="8" max="8" width="9.421875" style="1" customWidth="1"/>
    <col min="9" max="16384" width="9.140625" style="1" customWidth="1"/>
  </cols>
  <sheetData>
    <row r="3" spans="5:11" ht="12.75">
      <c r="E3" s="2"/>
      <c r="F3" s="3" t="s">
        <v>180</v>
      </c>
      <c r="G3" s="2"/>
      <c r="H3" s="2"/>
      <c r="I3" s="2"/>
      <c r="J3" s="2"/>
      <c r="K3" s="2"/>
    </row>
    <row r="4" spans="2:12" ht="12.75">
      <c r="B4" s="1" t="s">
        <v>3</v>
      </c>
      <c r="E4" s="2" t="s">
        <v>190</v>
      </c>
      <c r="F4" s="2"/>
      <c r="G4" s="2"/>
      <c r="H4" s="2"/>
      <c r="I4" s="2"/>
      <c r="J4" s="2"/>
      <c r="K4" s="2"/>
      <c r="L4" s="1" t="s">
        <v>0</v>
      </c>
    </row>
    <row r="5" spans="5:12" ht="12.75">
      <c r="E5" s="2" t="s">
        <v>234</v>
      </c>
      <c r="F5" s="2"/>
      <c r="G5" s="2"/>
      <c r="H5" s="2"/>
      <c r="I5" s="2"/>
      <c r="J5" s="2"/>
      <c r="K5" s="4" t="s">
        <v>0</v>
      </c>
      <c r="L5" s="1" t="s">
        <v>0</v>
      </c>
    </row>
    <row r="6" spans="5:12" ht="12.75">
      <c r="E6" s="2"/>
      <c r="F6" s="2"/>
      <c r="G6" s="2"/>
      <c r="H6" s="2"/>
      <c r="I6" s="2"/>
      <c r="J6" s="2"/>
      <c r="K6" s="2"/>
      <c r="L6" s="1" t="s">
        <v>0</v>
      </c>
    </row>
    <row r="7" spans="5:12" ht="12.75">
      <c r="E7" s="2" t="s">
        <v>203</v>
      </c>
      <c r="F7" s="2"/>
      <c r="G7" s="2"/>
      <c r="H7" s="2"/>
      <c r="I7" s="2"/>
      <c r="J7" s="2"/>
      <c r="K7" s="2"/>
      <c r="L7" s="1" t="s">
        <v>0</v>
      </c>
    </row>
    <row r="8" ht="12.75">
      <c r="L8" s="1" t="s">
        <v>0</v>
      </c>
    </row>
    <row r="9" spans="11:12" ht="12.75">
      <c r="K9" s="5" t="s">
        <v>0</v>
      </c>
      <c r="L9" s="1" t="s">
        <v>0</v>
      </c>
    </row>
    <row r="10" ht="12.75">
      <c r="B10" s="1" t="s">
        <v>81</v>
      </c>
    </row>
    <row r="12" spans="6:12" ht="15.75">
      <c r="F12" s="194" t="s">
        <v>181</v>
      </c>
      <c r="G12" s="195"/>
      <c r="H12" s="195"/>
      <c r="L12" s="1" t="s">
        <v>0</v>
      </c>
    </row>
    <row r="14" spans="6:12" ht="12.75">
      <c r="F14" s="1" t="s">
        <v>240</v>
      </c>
      <c r="L14" s="1" t="s">
        <v>0</v>
      </c>
    </row>
    <row r="15" spans="6:12" ht="12.75">
      <c r="F15" s="1" t="s">
        <v>6</v>
      </c>
      <c r="J15" s="6">
        <v>1</v>
      </c>
      <c r="L15" s="1" t="s">
        <v>2</v>
      </c>
    </row>
    <row r="16" spans="5:12" ht="12.75">
      <c r="E16" s="1" t="s">
        <v>154</v>
      </c>
      <c r="J16" s="6">
        <v>1</v>
      </c>
      <c r="L16" s="1" t="s">
        <v>0</v>
      </c>
    </row>
    <row r="17" ht="12.75">
      <c r="L17" s="1" t="s">
        <v>0</v>
      </c>
    </row>
    <row r="18" spans="6:12" ht="12.75">
      <c r="F18" s="7" t="s">
        <v>102</v>
      </c>
      <c r="G18" s="7" t="s">
        <v>176</v>
      </c>
      <c r="H18" s="7" t="s">
        <v>169</v>
      </c>
      <c r="I18" s="8" t="s">
        <v>183</v>
      </c>
      <c r="J18" s="8" t="s">
        <v>244</v>
      </c>
      <c r="K18" s="5" t="s">
        <v>0</v>
      </c>
      <c r="L18" s="1" t="s">
        <v>0</v>
      </c>
    </row>
    <row r="19" spans="6:12" ht="12.75">
      <c r="F19" s="7"/>
      <c r="G19" s="7"/>
      <c r="H19" s="7"/>
      <c r="I19" s="7"/>
      <c r="J19" s="7"/>
      <c r="L19" s="1" t="s">
        <v>0</v>
      </c>
    </row>
    <row r="20" spans="3:12" ht="12.75">
      <c r="C20" s="1" t="s">
        <v>79</v>
      </c>
      <c r="F20" s="6">
        <v>1800</v>
      </c>
      <c r="G20" s="6">
        <v>1600</v>
      </c>
      <c r="H20" s="9">
        <v>1400</v>
      </c>
      <c r="I20" s="6">
        <v>1200</v>
      </c>
      <c r="J20" s="6">
        <v>1000</v>
      </c>
      <c r="L20" s="1" t="s">
        <v>0</v>
      </c>
    </row>
    <row r="21" spans="3:12" ht="12.75">
      <c r="C21" s="1" t="s">
        <v>77</v>
      </c>
      <c r="F21" s="8">
        <v>1.9</v>
      </c>
      <c r="G21" s="8">
        <v>1.7</v>
      </c>
      <c r="H21" s="10">
        <v>1.5</v>
      </c>
      <c r="I21" s="8">
        <v>1.2</v>
      </c>
      <c r="J21" s="8">
        <v>1</v>
      </c>
      <c r="L21" s="1" t="s">
        <v>0</v>
      </c>
    </row>
    <row r="22" spans="12:20" ht="12.75">
      <c r="L22" s="1" t="s">
        <v>0</v>
      </c>
      <c r="T22" s="1" t="s">
        <v>0</v>
      </c>
    </row>
    <row r="23" spans="3:12" ht="12.75">
      <c r="C23" s="1" t="s">
        <v>155</v>
      </c>
      <c r="G23" s="7" t="s">
        <v>235</v>
      </c>
      <c r="H23" s="7" t="s">
        <v>195</v>
      </c>
      <c r="I23" s="8" t="s">
        <v>191</v>
      </c>
      <c r="J23" s="6" t="s">
        <v>66</v>
      </c>
      <c r="K23" s="11" t="s">
        <v>218</v>
      </c>
      <c r="L23" s="1" t="s">
        <v>0</v>
      </c>
    </row>
    <row r="24" ht="12.75">
      <c r="L24" s="1" t="s">
        <v>0</v>
      </c>
    </row>
    <row r="25" spans="3:10" ht="12.75">
      <c r="C25" s="1" t="s">
        <v>241</v>
      </c>
      <c r="J25" s="12" t="s">
        <v>0</v>
      </c>
    </row>
    <row r="26" spans="4:12" ht="12.75">
      <c r="D26" s="1" t="s">
        <v>164</v>
      </c>
      <c r="G26" s="7" t="s">
        <v>216</v>
      </c>
      <c r="H26" s="7">
        <v>1</v>
      </c>
      <c r="I26" s="8">
        <v>30</v>
      </c>
      <c r="J26" s="8">
        <f aca="true" t="shared" si="0" ref="J26:J42">H26*I26</f>
        <v>30</v>
      </c>
      <c r="K26" s="6">
        <f>J26*J15</f>
        <v>30</v>
      </c>
      <c r="L26" s="7"/>
    </row>
    <row r="27" spans="4:12" ht="12.75">
      <c r="D27" s="1" t="s">
        <v>173</v>
      </c>
      <c r="G27" s="7" t="s">
        <v>161</v>
      </c>
      <c r="H27" s="7">
        <v>150</v>
      </c>
      <c r="I27" s="13">
        <v>1</v>
      </c>
      <c r="J27" s="8">
        <f t="shared" si="0"/>
        <v>150</v>
      </c>
      <c r="K27" s="6">
        <f>J27*J15</f>
        <v>150</v>
      </c>
      <c r="L27" s="7" t="s">
        <v>0</v>
      </c>
    </row>
    <row r="28" spans="4:12" ht="12.75">
      <c r="D28" s="1" t="s">
        <v>184</v>
      </c>
      <c r="G28" s="7" t="s">
        <v>161</v>
      </c>
      <c r="H28" s="7">
        <v>40</v>
      </c>
      <c r="I28" s="13">
        <v>0.73</v>
      </c>
      <c r="J28" s="8">
        <f t="shared" si="0"/>
        <v>29.2</v>
      </c>
      <c r="K28" s="6">
        <f>J28*J$16</f>
        <v>29.2</v>
      </c>
      <c r="L28" s="7"/>
    </row>
    <row r="29" spans="4:12" ht="12.75">
      <c r="D29" s="1" t="s">
        <v>186</v>
      </c>
      <c r="G29" s="7" t="s">
        <v>161</v>
      </c>
      <c r="H29" s="7">
        <v>60</v>
      </c>
      <c r="I29" s="13">
        <v>0.83</v>
      </c>
      <c r="J29" s="8">
        <f t="shared" si="0"/>
        <v>49.8</v>
      </c>
      <c r="K29" s="6">
        <f>J29*J$16</f>
        <v>49.8</v>
      </c>
      <c r="L29" s="7"/>
    </row>
    <row r="30" spans="4:12" ht="12.75">
      <c r="D30" s="1" t="s">
        <v>250</v>
      </c>
      <c r="G30" s="7" t="s">
        <v>161</v>
      </c>
      <c r="H30" s="7">
        <v>50</v>
      </c>
      <c r="I30" s="13">
        <v>0.8</v>
      </c>
      <c r="J30" s="8">
        <f t="shared" si="0"/>
        <v>40</v>
      </c>
      <c r="K30" s="6">
        <f>J30*J$16</f>
        <v>40</v>
      </c>
      <c r="L30" s="7"/>
    </row>
    <row r="31" spans="4:12" ht="12.75">
      <c r="D31" s="1" t="s">
        <v>129</v>
      </c>
      <c r="G31" s="7" t="s">
        <v>161</v>
      </c>
      <c r="H31" s="7">
        <v>3</v>
      </c>
      <c r="I31" s="8">
        <v>2</v>
      </c>
      <c r="J31" s="8">
        <f t="shared" si="0"/>
        <v>6</v>
      </c>
      <c r="K31" s="6">
        <f>J31*J$16</f>
        <v>6</v>
      </c>
      <c r="L31" s="7"/>
    </row>
    <row r="32" spans="4:12" ht="12.75">
      <c r="D32" s="1" t="s">
        <v>128</v>
      </c>
      <c r="G32" s="7" t="s">
        <v>161</v>
      </c>
      <c r="H32" s="7">
        <v>3</v>
      </c>
      <c r="I32" s="8">
        <v>1.3</v>
      </c>
      <c r="J32" s="8">
        <f t="shared" si="0"/>
        <v>3.9000000000000004</v>
      </c>
      <c r="K32" s="6">
        <f>J32*J$16</f>
        <v>3.9000000000000004</v>
      </c>
      <c r="L32" s="7"/>
    </row>
    <row r="33" spans="4:12" ht="12.75">
      <c r="D33" s="1" t="s">
        <v>132</v>
      </c>
      <c r="G33" s="7" t="s">
        <v>99</v>
      </c>
      <c r="H33" s="7">
        <v>8</v>
      </c>
      <c r="I33" s="8">
        <v>9.89</v>
      </c>
      <c r="J33" s="8">
        <f t="shared" si="0"/>
        <v>79.12</v>
      </c>
      <c r="K33" s="6">
        <f>J33*J$15</f>
        <v>79.12</v>
      </c>
      <c r="L33" s="7"/>
    </row>
    <row r="34" spans="4:12" ht="12.75">
      <c r="D34" s="1" t="s">
        <v>139</v>
      </c>
      <c r="G34" s="7" t="s">
        <v>99</v>
      </c>
      <c r="H34" s="7">
        <v>3</v>
      </c>
      <c r="I34" s="8">
        <v>29.25</v>
      </c>
      <c r="J34" s="8">
        <f t="shared" si="0"/>
        <v>87.75</v>
      </c>
      <c r="K34" s="6">
        <f>J34*J16</f>
        <v>87.75</v>
      </c>
      <c r="L34" s="7"/>
    </row>
    <row r="35" spans="4:12" ht="12.75">
      <c r="D35" s="1" t="s">
        <v>144</v>
      </c>
      <c r="G35" s="7" t="s">
        <v>99</v>
      </c>
      <c r="H35" s="7">
        <v>10</v>
      </c>
      <c r="I35" s="8">
        <v>14.41</v>
      </c>
      <c r="J35" s="8">
        <f t="shared" si="0"/>
        <v>144.1</v>
      </c>
      <c r="K35" s="6">
        <f>J35*J$15</f>
        <v>144.1</v>
      </c>
      <c r="L35" s="7"/>
    </row>
    <row r="36" spans="4:12" ht="12.75">
      <c r="D36" s="1" t="s">
        <v>157</v>
      </c>
      <c r="G36" s="7" t="s">
        <v>141</v>
      </c>
      <c r="H36" s="8">
        <v>25</v>
      </c>
      <c r="I36" s="8">
        <v>8</v>
      </c>
      <c r="J36" s="8">
        <f t="shared" si="0"/>
        <v>200</v>
      </c>
      <c r="K36" s="6">
        <f>J36*J$15</f>
        <v>200</v>
      </c>
      <c r="L36" s="7"/>
    </row>
    <row r="37" spans="4:12" ht="12.75">
      <c r="D37" s="1" t="s">
        <v>56</v>
      </c>
      <c r="G37" s="7" t="s">
        <v>133</v>
      </c>
      <c r="H37" s="8">
        <v>33</v>
      </c>
      <c r="I37" s="8">
        <v>4.75</v>
      </c>
      <c r="J37" s="8">
        <f t="shared" si="0"/>
        <v>156.75</v>
      </c>
      <c r="K37" s="6">
        <f>J37*J15</f>
        <v>156.75</v>
      </c>
      <c r="L37" s="7"/>
    </row>
    <row r="38" spans="4:12" ht="12.75">
      <c r="D38" s="1" t="s">
        <v>61</v>
      </c>
      <c r="G38" s="7" t="s">
        <v>91</v>
      </c>
      <c r="H38" s="7">
        <f>J43</f>
        <v>1155.5076923076922</v>
      </c>
      <c r="I38" s="8">
        <v>0.025</v>
      </c>
      <c r="J38" s="8">
        <f t="shared" si="0"/>
        <v>28.887692307692305</v>
      </c>
      <c r="K38" s="6">
        <f>J38*J15</f>
        <v>28.887692307692305</v>
      </c>
      <c r="L38" s="7"/>
    </row>
    <row r="39" spans="4:12" ht="12.75">
      <c r="D39" s="1" t="s">
        <v>160</v>
      </c>
      <c r="G39" s="7" t="s">
        <v>91</v>
      </c>
      <c r="H39" s="7">
        <v>1</v>
      </c>
      <c r="I39" s="8">
        <v>150</v>
      </c>
      <c r="J39" s="8">
        <f t="shared" si="0"/>
        <v>150</v>
      </c>
      <c r="K39" s="6">
        <f>J39*J15</f>
        <v>150</v>
      </c>
      <c r="L39" s="7"/>
    </row>
    <row r="40" spans="4:12" ht="12.75">
      <c r="D40" s="1" t="s">
        <v>153</v>
      </c>
      <c r="G40" s="7" t="s">
        <v>91</v>
      </c>
      <c r="H40" s="7">
        <v>1</v>
      </c>
      <c r="I40" s="8">
        <f>SSet!H43</f>
        <v>0</v>
      </c>
      <c r="J40" s="8">
        <f t="shared" si="0"/>
        <v>0</v>
      </c>
      <c r="K40" s="6">
        <f>J40*J15</f>
        <v>0</v>
      </c>
      <c r="L40" s="14" t="s">
        <v>0</v>
      </c>
    </row>
    <row r="41" spans="4:12" ht="12.75">
      <c r="D41" s="1" t="s">
        <v>159</v>
      </c>
      <c r="G41" s="7" t="s">
        <v>91</v>
      </c>
      <c r="H41" s="7">
        <v>1</v>
      </c>
      <c r="I41" s="8">
        <v>150</v>
      </c>
      <c r="J41" s="8">
        <f t="shared" si="0"/>
        <v>150</v>
      </c>
      <c r="K41" s="6">
        <f>J41*J15</f>
        <v>150</v>
      </c>
      <c r="L41" s="14" t="s">
        <v>0</v>
      </c>
    </row>
    <row r="42" spans="4:12" ht="12.75">
      <c r="D42" s="1" t="s">
        <v>150</v>
      </c>
      <c r="G42" s="7" t="s">
        <v>65</v>
      </c>
      <c r="H42" s="8">
        <f>J43</f>
        <v>1155.5076923076922</v>
      </c>
      <c r="I42" s="8">
        <v>0.08</v>
      </c>
      <c r="J42" s="8">
        <f t="shared" si="0"/>
        <v>92.44061538461538</v>
      </c>
      <c r="K42" s="6">
        <f>J42*J15</f>
        <v>92.44061538461538</v>
      </c>
      <c r="L42" s="7" t="s">
        <v>0</v>
      </c>
    </row>
    <row r="43" spans="3:12" ht="12.75">
      <c r="C43" s="15" t="s">
        <v>189</v>
      </c>
      <c r="G43" s="7"/>
      <c r="H43" s="7"/>
      <c r="I43" s="7"/>
      <c r="J43" s="10">
        <f>SUM(J25:J40)</f>
        <v>1155.5076923076922</v>
      </c>
      <c r="K43" s="9">
        <f>J43*J15</f>
        <v>1155.5076923076922</v>
      </c>
      <c r="L43" s="14" t="s">
        <v>0</v>
      </c>
    </row>
    <row r="44" ht="12.75">
      <c r="L44" s="14" t="s">
        <v>0</v>
      </c>
    </row>
    <row r="45" spans="3:12" ht="12.75">
      <c r="C45" s="1" t="s">
        <v>137</v>
      </c>
      <c r="G45" s="7"/>
      <c r="H45" s="7"/>
      <c r="I45" s="7"/>
      <c r="J45" s="6" t="s">
        <v>0</v>
      </c>
      <c r="K45" s="7"/>
      <c r="L45" s="14" t="s">
        <v>0</v>
      </c>
    </row>
    <row r="46" spans="4:12" ht="12.75">
      <c r="D46" s="1" t="s">
        <v>130</v>
      </c>
      <c r="G46" s="7" t="s">
        <v>99</v>
      </c>
      <c r="H46" s="8">
        <v>30</v>
      </c>
      <c r="I46" s="8">
        <v>6</v>
      </c>
      <c r="J46" s="8">
        <f>H46*I46</f>
        <v>180</v>
      </c>
      <c r="K46" s="6">
        <f>J46*J15</f>
        <v>180</v>
      </c>
      <c r="L46" s="14" t="s">
        <v>0</v>
      </c>
    </row>
    <row r="47" spans="4:12" ht="12.75">
      <c r="D47" s="1" t="s">
        <v>166</v>
      </c>
      <c r="G47" s="7" t="s">
        <v>91</v>
      </c>
      <c r="H47" s="7">
        <v>1</v>
      </c>
      <c r="I47" s="8">
        <v>22.21</v>
      </c>
      <c r="J47" s="8">
        <f>I47*H47</f>
        <v>22.21</v>
      </c>
      <c r="K47" s="6">
        <f>J47*J15</f>
        <v>22.21</v>
      </c>
      <c r="L47" s="14" t="s">
        <v>0</v>
      </c>
    </row>
    <row r="48" spans="4:12" ht="12.75">
      <c r="D48" s="1" t="s">
        <v>157</v>
      </c>
      <c r="G48" s="7" t="s">
        <v>141</v>
      </c>
      <c r="H48" s="8">
        <v>4</v>
      </c>
      <c r="I48" s="8">
        <f>I36</f>
        <v>8</v>
      </c>
      <c r="J48" s="8">
        <f>H48*I48</f>
        <v>32</v>
      </c>
      <c r="K48" s="6">
        <f>J48*J15</f>
        <v>32</v>
      </c>
      <c r="L48" s="14" t="s">
        <v>0</v>
      </c>
    </row>
    <row r="49" spans="4:12" ht="12.75">
      <c r="D49" s="1" t="s">
        <v>109</v>
      </c>
      <c r="G49" s="7" t="s">
        <v>161</v>
      </c>
      <c r="H49" s="7">
        <v>1400</v>
      </c>
      <c r="I49" s="8">
        <v>0.12</v>
      </c>
      <c r="J49" s="8">
        <f>H49*I49</f>
        <v>168</v>
      </c>
      <c r="K49" s="6">
        <f>J49*J15</f>
        <v>168</v>
      </c>
      <c r="L49" s="7"/>
    </row>
    <row r="50" ht="12.75">
      <c r="L50" s="14" t="s">
        <v>0</v>
      </c>
    </row>
    <row r="51" spans="3:12" ht="12.75">
      <c r="C51" s="15" t="s">
        <v>226</v>
      </c>
      <c r="G51" s="7"/>
      <c r="H51" s="7"/>
      <c r="J51" s="10">
        <f>SUM(J46:J49)</f>
        <v>402.21000000000004</v>
      </c>
      <c r="K51" s="9">
        <f>J51*J15</f>
        <v>402.21000000000004</v>
      </c>
      <c r="L51" s="14" t="s">
        <v>0</v>
      </c>
    </row>
    <row r="52" spans="3:12" ht="12.75">
      <c r="C52" s="15" t="s">
        <v>230</v>
      </c>
      <c r="G52" s="7"/>
      <c r="H52" s="7"/>
      <c r="I52" s="7"/>
      <c r="J52" s="10">
        <f>J43+J51</f>
        <v>1557.7176923076922</v>
      </c>
      <c r="K52" s="9">
        <f>J52*J15</f>
        <v>1557.7176923076922</v>
      </c>
      <c r="L52" s="7"/>
    </row>
    <row r="53" spans="7:12" ht="12.75">
      <c r="G53" s="7"/>
      <c r="H53" s="7"/>
      <c r="I53" s="7"/>
      <c r="J53" s="7"/>
      <c r="K53" s="7"/>
      <c r="L53" s="14" t="s">
        <v>0</v>
      </c>
    </row>
    <row r="54" spans="3:12" ht="12.75">
      <c r="C54" s="15" t="s">
        <v>124</v>
      </c>
      <c r="D54" s="15"/>
      <c r="G54" s="7"/>
      <c r="H54" s="7"/>
      <c r="I54" s="7"/>
      <c r="J54" s="7"/>
      <c r="K54" s="7"/>
      <c r="L54" s="7"/>
    </row>
    <row r="55" spans="4:12" ht="12.75">
      <c r="D55" s="1" t="s">
        <v>231</v>
      </c>
      <c r="G55" s="7" t="s">
        <v>141</v>
      </c>
      <c r="H55" s="8">
        <v>1</v>
      </c>
      <c r="I55" s="8">
        <f>FxdCost!I28</f>
        <v>2590.80225696</v>
      </c>
      <c r="J55" s="8">
        <f>H55*I55</f>
        <v>2590.80225696</v>
      </c>
      <c r="K55" s="11">
        <f>J15*J55</f>
        <v>2590.80225696</v>
      </c>
      <c r="L55" s="14" t="s">
        <v>0</v>
      </c>
    </row>
    <row r="56" spans="4:12" ht="12.75">
      <c r="D56" s="1" t="s">
        <v>153</v>
      </c>
      <c r="G56" s="7" t="s">
        <v>91</v>
      </c>
      <c r="H56" s="8">
        <v>1</v>
      </c>
      <c r="I56" s="8">
        <f>Drip!$I40</f>
        <v>1488.942</v>
      </c>
      <c r="J56" s="8">
        <f>H56*I56</f>
        <v>1488.942</v>
      </c>
      <c r="K56" s="11">
        <f>J15*J56</f>
        <v>1488.942</v>
      </c>
      <c r="L56" s="7"/>
    </row>
    <row r="57" spans="4:12" ht="12.75">
      <c r="D57" s="1" t="s">
        <v>198</v>
      </c>
      <c r="G57" s="7" t="s">
        <v>91</v>
      </c>
      <c r="H57" s="8">
        <v>1</v>
      </c>
      <c r="I57" s="8">
        <f>Yr3!H50</f>
        <v>0</v>
      </c>
      <c r="J57" s="8">
        <f>I57*H57</f>
        <v>0</v>
      </c>
      <c r="K57" s="11">
        <f>J15*J57</f>
        <v>0</v>
      </c>
      <c r="L57" s="7"/>
    </row>
    <row r="58" spans="4:12" ht="12.75">
      <c r="D58" s="1" t="s">
        <v>158</v>
      </c>
      <c r="G58" s="7" t="s">
        <v>91</v>
      </c>
      <c r="H58" s="8">
        <v>1</v>
      </c>
      <c r="I58" s="7">
        <v>0</v>
      </c>
      <c r="J58" s="8">
        <f>H58*I58</f>
        <v>0</v>
      </c>
      <c r="K58" s="11">
        <f>J15*J58</f>
        <v>0</v>
      </c>
      <c r="L58" s="14" t="s">
        <v>0</v>
      </c>
    </row>
    <row r="59" spans="4:12" ht="12.75">
      <c r="D59" s="1" t="s">
        <v>179</v>
      </c>
      <c r="G59" s="7" t="s">
        <v>65</v>
      </c>
      <c r="H59" s="6">
        <f>J43</f>
        <v>1155.5076923076922</v>
      </c>
      <c r="I59" s="8">
        <v>0.15</v>
      </c>
      <c r="J59" s="8">
        <f>H59*I59</f>
        <v>173.32615384615383</v>
      </c>
      <c r="K59" s="11">
        <f>J15*J59</f>
        <v>173.32615384615383</v>
      </c>
      <c r="L59" s="7"/>
    </row>
    <row r="60" spans="3:12" ht="12.75">
      <c r="C60" s="15" t="s">
        <v>223</v>
      </c>
      <c r="G60" s="7"/>
      <c r="H60" s="7"/>
      <c r="I60" s="7"/>
      <c r="J60" s="10">
        <f>SUM(J55:J59)</f>
        <v>1893.7296405128207</v>
      </c>
      <c r="K60" s="16">
        <f>J15*J60</f>
        <v>1893.7296405128207</v>
      </c>
      <c r="L60" s="7"/>
    </row>
    <row r="61" spans="8:12" ht="12.75">
      <c r="H61" s="7"/>
      <c r="I61" s="7"/>
      <c r="J61" s="6" t="s">
        <v>0</v>
      </c>
      <c r="K61" s="7"/>
      <c r="L61" s="7"/>
    </row>
    <row r="62" spans="3:12" ht="12.75">
      <c r="C62" s="15" t="s">
        <v>219</v>
      </c>
      <c r="H62" s="7"/>
      <c r="I62" s="7"/>
      <c r="J62" s="10">
        <f>J43+J51+J60</f>
        <v>3451.447332820513</v>
      </c>
      <c r="K62" s="9">
        <f>J15*J62</f>
        <v>3451.447332820513</v>
      </c>
      <c r="L62" s="7"/>
    </row>
    <row r="63" spans="8:12" ht="12.75">
      <c r="H63" s="7"/>
      <c r="I63" s="7"/>
      <c r="J63" s="7"/>
      <c r="K63" s="7"/>
      <c r="L63" s="7"/>
    </row>
    <row r="64" spans="4:12" ht="12.75">
      <c r="D64" s="15" t="s">
        <v>111</v>
      </c>
      <c r="H64" s="7"/>
      <c r="I64" s="7"/>
      <c r="J64" s="7"/>
      <c r="K64" s="7"/>
      <c r="L64" s="7"/>
    </row>
    <row r="65" spans="4:12" ht="12.75">
      <c r="D65" s="1" t="s">
        <v>188</v>
      </c>
      <c r="H65" s="7"/>
      <c r="I65" s="7"/>
      <c r="J65" s="8">
        <f>J43/H20</f>
        <v>0.8253626373626373</v>
      </c>
      <c r="K65" s="7"/>
      <c r="L65" s="7"/>
    </row>
    <row r="66" spans="4:18" ht="12.75">
      <c r="D66" s="1" t="s">
        <v>136</v>
      </c>
      <c r="H66" s="7"/>
      <c r="I66" s="7"/>
      <c r="J66" s="8">
        <f>J51/H20</f>
        <v>0.2872928571428572</v>
      </c>
      <c r="K66" s="7"/>
      <c r="L66" s="7"/>
      <c r="M66" s="1" t="s">
        <v>74</v>
      </c>
      <c r="N66" s="1" t="s">
        <v>74</v>
      </c>
      <c r="R66" s="1" t="s">
        <v>74</v>
      </c>
    </row>
    <row r="67" spans="4:18" ht="12.75">
      <c r="D67" s="1" t="s">
        <v>126</v>
      </c>
      <c r="E67" s="1" t="s">
        <v>60</v>
      </c>
      <c r="H67" s="7"/>
      <c r="I67" s="7"/>
      <c r="J67" s="8">
        <f>J60/H20</f>
        <v>1.352664028937729</v>
      </c>
      <c r="K67" s="7"/>
      <c r="L67" s="7"/>
      <c r="M67" s="1" t="s">
        <v>74</v>
      </c>
      <c r="N67" s="1" t="s">
        <v>7</v>
      </c>
      <c r="R67" s="1" t="s">
        <v>74</v>
      </c>
    </row>
    <row r="68" spans="3:18" ht="12.75">
      <c r="C68" s="15" t="s">
        <v>220</v>
      </c>
      <c r="H68" s="7"/>
      <c r="I68" s="7"/>
      <c r="J68" s="10">
        <f>J62/H20</f>
        <v>2.4653195234432235</v>
      </c>
      <c r="K68" s="7"/>
      <c r="L68" s="7"/>
      <c r="M68" s="1" t="s">
        <v>74</v>
      </c>
      <c r="N68" s="1" t="s">
        <v>1</v>
      </c>
      <c r="R68" s="1" t="s">
        <v>74</v>
      </c>
    </row>
    <row r="69" spans="8:18" ht="12.75">
      <c r="H69" s="7"/>
      <c r="I69" s="7"/>
      <c r="J69" s="7"/>
      <c r="K69" s="7"/>
      <c r="L69" s="7"/>
      <c r="M69" s="1" t="s">
        <v>74</v>
      </c>
      <c r="N69" s="12">
        <f>J15</f>
        <v>1</v>
      </c>
      <c r="O69" s="1" t="s">
        <v>10</v>
      </c>
      <c r="R69" s="1" t="s">
        <v>74</v>
      </c>
    </row>
    <row r="70" spans="6:18" ht="12.75">
      <c r="F70" s="1" t="s">
        <v>69</v>
      </c>
      <c r="H70" s="7"/>
      <c r="I70" s="7"/>
      <c r="J70" s="7"/>
      <c r="K70" s="7"/>
      <c r="L70" s="7"/>
      <c r="M70" s="1" t="s">
        <v>74</v>
      </c>
      <c r="N70" s="12">
        <f>F20</f>
        <v>1800</v>
      </c>
      <c r="O70" s="1" t="s">
        <v>12</v>
      </c>
      <c r="P70" s="17">
        <f>F21</f>
        <v>1.9</v>
      </c>
      <c r="Q70" s="1" t="s">
        <v>11</v>
      </c>
      <c r="R70" s="1" t="s">
        <v>74</v>
      </c>
    </row>
    <row r="71" spans="8:18" ht="12.75">
      <c r="H71" s="7"/>
      <c r="I71" s="7"/>
      <c r="J71" s="7"/>
      <c r="K71" s="7"/>
      <c r="L71" s="7"/>
      <c r="M71" s="1" t="s">
        <v>74</v>
      </c>
      <c r="N71" s="12">
        <f>G20</f>
        <v>1600</v>
      </c>
      <c r="O71" s="1" t="s">
        <v>29</v>
      </c>
      <c r="P71" s="17">
        <f>G21</f>
        <v>1.7</v>
      </c>
      <c r="Q71" s="1" t="s">
        <v>28</v>
      </c>
      <c r="R71" s="1" t="s">
        <v>74</v>
      </c>
    </row>
    <row r="72" spans="3:16" ht="12.75">
      <c r="C72" s="1" t="s">
        <v>81</v>
      </c>
      <c r="H72" s="7"/>
      <c r="I72" s="7"/>
      <c r="J72" s="7"/>
      <c r="K72" s="7"/>
      <c r="L72" s="7"/>
      <c r="N72" s="12"/>
      <c r="P72" s="17"/>
    </row>
    <row r="73" spans="8:18" ht="12.75">
      <c r="H73" s="7"/>
      <c r="I73" s="7"/>
      <c r="J73" s="7"/>
      <c r="K73" s="7"/>
      <c r="L73" s="7"/>
      <c r="M73" s="1" t="s">
        <v>74</v>
      </c>
      <c r="N73" s="12">
        <f>H20</f>
        <v>1400</v>
      </c>
      <c r="O73" s="1" t="s">
        <v>22</v>
      </c>
      <c r="P73" s="17">
        <f>H21</f>
        <v>1.5</v>
      </c>
      <c r="Q73" s="1" t="s">
        <v>21</v>
      </c>
      <c r="R73" s="1" t="s">
        <v>74</v>
      </c>
    </row>
    <row r="74" spans="8:18" ht="12.75">
      <c r="H74" s="7"/>
      <c r="I74" s="7"/>
      <c r="J74" s="7"/>
      <c r="K74" s="7"/>
      <c r="L74" s="7"/>
      <c r="M74" s="1" t="s">
        <v>74</v>
      </c>
      <c r="N74" s="12">
        <f>I20</f>
        <v>1200</v>
      </c>
      <c r="O74" s="1" t="s">
        <v>32</v>
      </c>
      <c r="P74" s="17">
        <f>I21</f>
        <v>1.2</v>
      </c>
      <c r="Q74" s="1" t="s">
        <v>31</v>
      </c>
      <c r="R74" s="1" t="s">
        <v>74</v>
      </c>
    </row>
    <row r="75" spans="8:18" ht="12.75">
      <c r="H75" s="7"/>
      <c r="I75" s="7"/>
      <c r="J75" s="7"/>
      <c r="K75" s="11" t="s">
        <v>0</v>
      </c>
      <c r="L75" s="7" t="s">
        <v>0</v>
      </c>
      <c r="M75" s="1" t="s">
        <v>74</v>
      </c>
      <c r="N75" s="12">
        <f>J20</f>
        <v>1000</v>
      </c>
      <c r="O75" s="1" t="s">
        <v>55</v>
      </c>
      <c r="P75" s="17">
        <f>J21</f>
        <v>1</v>
      </c>
      <c r="Q75" s="1" t="s">
        <v>54</v>
      </c>
      <c r="R75" s="1" t="s">
        <v>74</v>
      </c>
    </row>
    <row r="76" spans="8:18" ht="12.75">
      <c r="H76" s="7"/>
      <c r="I76" s="7"/>
      <c r="J76" s="7"/>
      <c r="K76" s="11" t="s">
        <v>0</v>
      </c>
      <c r="L76" s="7"/>
      <c r="M76" s="1" t="s">
        <v>74</v>
      </c>
      <c r="N76" s="17">
        <f>J66</f>
        <v>0.2872928571428572</v>
      </c>
      <c r="O76" s="1" t="s">
        <v>20</v>
      </c>
      <c r="R76" s="1" t="s">
        <v>74</v>
      </c>
    </row>
    <row r="77" spans="8:18" ht="12.75">
      <c r="H77" s="7"/>
      <c r="I77" s="7"/>
      <c r="J77" s="7"/>
      <c r="K77" s="7"/>
      <c r="L77" s="7"/>
      <c r="M77" s="1" t="s">
        <v>74</v>
      </c>
      <c r="N77" s="17">
        <f>J43+J60</f>
        <v>3049.237332820513</v>
      </c>
      <c r="O77" s="1" t="s">
        <v>45</v>
      </c>
      <c r="R77" s="1" t="s">
        <v>74</v>
      </c>
    </row>
    <row r="78" spans="8:18" ht="12.75">
      <c r="H78" s="7"/>
      <c r="I78" s="7"/>
      <c r="J78" s="7"/>
      <c r="K78" s="7"/>
      <c r="L78" s="7"/>
      <c r="M78" s="1" t="s">
        <v>74</v>
      </c>
      <c r="N78" s="1" t="s">
        <v>74</v>
      </c>
      <c r="R78" s="1" t="s">
        <v>74</v>
      </c>
    </row>
    <row r="79" spans="8:18" ht="12.75">
      <c r="H79" s="7"/>
      <c r="I79" s="7"/>
      <c r="J79" s="7"/>
      <c r="K79" s="7"/>
      <c r="L79" s="7"/>
      <c r="M79" s="1" t="s">
        <v>80</v>
      </c>
      <c r="N79" s="1" t="s">
        <v>1</v>
      </c>
      <c r="R79" s="1" t="s">
        <v>80</v>
      </c>
    </row>
    <row r="80" spans="8:18" ht="12.75">
      <c r="H80" s="7"/>
      <c r="I80" s="7"/>
      <c r="J80" s="7"/>
      <c r="K80" s="7"/>
      <c r="L80" s="7"/>
      <c r="M80" s="1" t="s">
        <v>80</v>
      </c>
      <c r="O80" s="1" t="s">
        <v>106</v>
      </c>
      <c r="R80" s="1" t="s">
        <v>80</v>
      </c>
    </row>
    <row r="81" spans="8:18" ht="12.75">
      <c r="H81" s="18"/>
      <c r="I81" s="7"/>
      <c r="J81" s="7"/>
      <c r="K81" s="7"/>
      <c r="L81" s="7"/>
      <c r="M81" s="1" t="s">
        <v>80</v>
      </c>
      <c r="N81" s="1" t="s">
        <v>1</v>
      </c>
      <c r="R81" s="1" t="s">
        <v>80</v>
      </c>
    </row>
    <row r="82" spans="4:18" ht="12.75">
      <c r="D82" s="196" t="s">
        <v>120</v>
      </c>
      <c r="E82" s="195"/>
      <c r="F82" s="195"/>
      <c r="G82" s="195"/>
      <c r="H82" s="195"/>
      <c r="I82" s="195"/>
      <c r="J82" s="195"/>
      <c r="K82" s="7"/>
      <c r="L82" s="7"/>
      <c r="M82" s="1" t="s">
        <v>80</v>
      </c>
      <c r="N82" s="12">
        <f>0.04*N70+0.25*N71+0.42*N73+0.25*N74+0.04*N75</f>
        <v>1400</v>
      </c>
      <c r="O82" s="1" t="s">
        <v>18</v>
      </c>
      <c r="P82" s="1">
        <f>0.04*P70+0.25*P71+0.42*P73+0.25*P74+0.04*P75</f>
        <v>1.471</v>
      </c>
      <c r="Q82" s="1" t="s">
        <v>17</v>
      </c>
      <c r="R82" s="1" t="s">
        <v>80</v>
      </c>
    </row>
    <row r="83" spans="8:18" ht="12.75">
      <c r="H83" s="19" t="s">
        <v>0</v>
      </c>
      <c r="I83" s="19"/>
      <c r="J83" s="7"/>
      <c r="K83" s="7"/>
      <c r="L83" s="7"/>
      <c r="M83" s="1" t="s">
        <v>80</v>
      </c>
      <c r="N83" s="1">
        <f>0.25*(N70-N82)+0.5*(N71-N82)</f>
        <v>200</v>
      </c>
      <c r="O83" s="1" t="s">
        <v>43</v>
      </c>
      <c r="P83" s="1">
        <f>0.25*(P70-P82)+0.5*(P71-P82)</f>
        <v>0.2217499999999999</v>
      </c>
      <c r="Q83" s="1" t="s">
        <v>35</v>
      </c>
      <c r="R83" s="1" t="s">
        <v>80</v>
      </c>
    </row>
    <row r="84" spans="8:18" ht="12.75">
      <c r="H84" s="7"/>
      <c r="I84" s="7"/>
      <c r="J84" s="7"/>
      <c r="K84" s="7"/>
      <c r="L84" s="7"/>
      <c r="M84" s="1" t="s">
        <v>80</v>
      </c>
      <c r="N84" s="1">
        <f>0.25*(N82-N75)+0.5*(N82-N74)</f>
        <v>200</v>
      </c>
      <c r="O84" s="1" t="s">
        <v>44</v>
      </c>
      <c r="P84" s="1">
        <f>0.25*(P82-P75)+0.5*(P82-P74)</f>
        <v>0.2532500000000001</v>
      </c>
      <c r="Q84" s="1" t="s">
        <v>36</v>
      </c>
      <c r="R84" s="1" t="s">
        <v>80</v>
      </c>
    </row>
    <row r="85" spans="4:18" ht="12.75">
      <c r="D85" s="1" t="s">
        <v>0</v>
      </c>
      <c r="E85" s="1" t="s">
        <v>119</v>
      </c>
      <c r="G85" s="1" t="s">
        <v>242</v>
      </c>
      <c r="H85" s="7"/>
      <c r="I85" s="8" t="s">
        <v>119</v>
      </c>
      <c r="J85" s="8" t="s">
        <v>0</v>
      </c>
      <c r="K85" s="11" t="s">
        <v>218</v>
      </c>
      <c r="L85" s="7"/>
      <c r="M85" s="1" t="s">
        <v>80</v>
      </c>
      <c r="N85" s="12">
        <f>N83^2</f>
        <v>40000</v>
      </c>
      <c r="O85" s="1" t="s">
        <v>52</v>
      </c>
      <c r="P85" s="1">
        <f>P83^2</f>
        <v>0.049173062499999955</v>
      </c>
      <c r="Q85" s="1" t="s">
        <v>46</v>
      </c>
      <c r="R85" s="1" t="s">
        <v>80</v>
      </c>
    </row>
    <row r="86" spans="4:18" ht="12.75">
      <c r="D86" s="1" t="s">
        <v>93</v>
      </c>
      <c r="E86" s="1" t="s">
        <v>247</v>
      </c>
      <c r="G86" s="1" t="s">
        <v>168</v>
      </c>
      <c r="H86" s="7"/>
      <c r="I86" s="8" t="s">
        <v>192</v>
      </c>
      <c r="J86" s="8" t="s">
        <v>0</v>
      </c>
      <c r="K86" s="11" t="s">
        <v>202</v>
      </c>
      <c r="L86" s="7" t="s">
        <v>2</v>
      </c>
      <c r="M86" s="1" t="s">
        <v>80</v>
      </c>
      <c r="N86" s="12">
        <f>N84^2</f>
        <v>40000</v>
      </c>
      <c r="O86" s="1" t="s">
        <v>53</v>
      </c>
      <c r="P86" s="1">
        <f>P84^2</f>
        <v>0.06413556250000005</v>
      </c>
      <c r="Q86" s="1" t="s">
        <v>47</v>
      </c>
      <c r="R86" s="1" t="s">
        <v>80</v>
      </c>
    </row>
    <row r="87" spans="8:18" ht="12.75">
      <c r="H87" s="7"/>
      <c r="I87" s="7"/>
      <c r="J87" s="7"/>
      <c r="K87" s="7"/>
      <c r="L87" s="7"/>
      <c r="M87" s="1" t="s">
        <v>80</v>
      </c>
      <c r="N87" s="1" t="s">
        <v>1</v>
      </c>
      <c r="R87" s="1" t="s">
        <v>80</v>
      </c>
    </row>
    <row r="88" spans="4:18" ht="12.75">
      <c r="D88" s="12">
        <f>J15</f>
        <v>1</v>
      </c>
      <c r="E88" s="12">
        <v>1200</v>
      </c>
      <c r="G88" s="12">
        <v>1200</v>
      </c>
      <c r="H88" s="7"/>
      <c r="I88" s="8">
        <v>0.85</v>
      </c>
      <c r="J88" s="7"/>
      <c r="K88" s="6">
        <f>G88*P82</f>
        <v>1765.2</v>
      </c>
      <c r="L88" s="7"/>
      <c r="M88" s="1" t="s">
        <v>80</v>
      </c>
      <c r="N88" s="12">
        <f>(N82^2*P85)+(P82-N76)^2*N85</f>
        <v>152425.70650204073</v>
      </c>
      <c r="O88" s="12" t="s">
        <v>48</v>
      </c>
      <c r="P88" s="12">
        <f>(N82^2*P86)+(P82-N76)^2*N86</f>
        <v>181752.2065020409</v>
      </c>
      <c r="Q88" s="1" t="s">
        <v>51</v>
      </c>
      <c r="R88" s="1" t="s">
        <v>80</v>
      </c>
    </row>
    <row r="89" spans="8:18" ht="12.75">
      <c r="H89" s="7"/>
      <c r="I89" s="7"/>
      <c r="J89" s="7"/>
      <c r="K89" s="7"/>
      <c r="L89" s="7"/>
      <c r="M89" s="1" t="s">
        <v>80</v>
      </c>
      <c r="N89" s="12">
        <f>(N82^2*P85)+(P82-N76)^2*N86</f>
        <v>152425.70650204073</v>
      </c>
      <c r="O89" s="12" t="s">
        <v>49</v>
      </c>
      <c r="P89" s="12">
        <f>N82^2*P86+(P82-N76)^2*N85</f>
        <v>181752.2065020409</v>
      </c>
      <c r="Q89" s="1" t="s">
        <v>50</v>
      </c>
      <c r="R89" s="1" t="s">
        <v>80</v>
      </c>
    </row>
    <row r="90" spans="8:19" ht="12.75">
      <c r="H90" s="7"/>
      <c r="I90" s="7"/>
      <c r="J90" s="7"/>
      <c r="K90" s="7"/>
      <c r="L90" s="7"/>
      <c r="M90" s="1" t="s">
        <v>80</v>
      </c>
      <c r="N90" s="12">
        <f>SQRT(N88)</f>
        <v>390.4173491304411</v>
      </c>
      <c r="O90" s="12" t="s">
        <v>37</v>
      </c>
      <c r="P90" s="12">
        <f>SQRT(P88)</f>
        <v>426.32406277624176</v>
      </c>
      <c r="Q90" s="1" t="s">
        <v>40</v>
      </c>
      <c r="R90" s="1" t="s">
        <v>80</v>
      </c>
      <c r="S90" s="1" t="s">
        <v>0</v>
      </c>
    </row>
    <row r="91" spans="8:18" ht="12.75">
      <c r="H91" s="7"/>
      <c r="I91" s="7"/>
      <c r="J91" s="7"/>
      <c r="K91" s="7"/>
      <c r="L91" s="7"/>
      <c r="M91" s="1" t="s">
        <v>80</v>
      </c>
      <c r="N91" s="12">
        <f>SQRT(N89)</f>
        <v>390.4173491304411</v>
      </c>
      <c r="O91" s="12" t="s">
        <v>38</v>
      </c>
      <c r="P91" s="12">
        <f>SQRT(P89)</f>
        <v>426.32406277624176</v>
      </c>
      <c r="Q91" s="1" t="s">
        <v>39</v>
      </c>
      <c r="R91" s="1" t="s">
        <v>80</v>
      </c>
    </row>
    <row r="92" spans="3:18" ht="12.75">
      <c r="C92" s="1" t="s">
        <v>4</v>
      </c>
      <c r="H92" s="7"/>
      <c r="I92" s="7"/>
      <c r="J92" s="7"/>
      <c r="K92" s="7"/>
      <c r="L92" s="7"/>
      <c r="M92" s="1" t="s">
        <v>80</v>
      </c>
      <c r="N92" s="12">
        <f>0.66*N90+0.17*N91+0.17*P91</f>
        <v>396.5214904502272</v>
      </c>
      <c r="O92" s="12" t="s">
        <v>41</v>
      </c>
      <c r="P92" s="12">
        <f>0.66*P90+0.17*N91+0.17*P91</f>
        <v>420.21992145645567</v>
      </c>
      <c r="Q92" s="1" t="s">
        <v>42</v>
      </c>
      <c r="R92" s="1" t="s">
        <v>80</v>
      </c>
    </row>
    <row r="93" spans="8:18" ht="12.75">
      <c r="H93" s="7"/>
      <c r="I93" s="7"/>
      <c r="J93" s="7"/>
      <c r="K93" s="7"/>
      <c r="L93" s="7"/>
      <c r="M93" s="1" t="s">
        <v>80</v>
      </c>
      <c r="N93" s="1" t="s">
        <v>1</v>
      </c>
      <c r="R93" s="1" t="s">
        <v>80</v>
      </c>
    </row>
    <row r="94" spans="3:18" ht="12.75">
      <c r="C94" s="1" t="s">
        <v>171</v>
      </c>
      <c r="H94" s="7"/>
      <c r="I94" s="7"/>
      <c r="J94" s="7"/>
      <c r="K94" s="7"/>
      <c r="L94" s="7"/>
      <c r="M94" s="1" t="s">
        <v>80</v>
      </c>
      <c r="N94" s="1" t="s">
        <v>105</v>
      </c>
      <c r="R94" s="1" t="s">
        <v>80</v>
      </c>
    </row>
    <row r="95" spans="3:18" ht="12.75">
      <c r="C95" s="1" t="s">
        <v>212</v>
      </c>
      <c r="H95" s="7"/>
      <c r="I95" s="7"/>
      <c r="J95" s="7"/>
      <c r="K95" s="7"/>
      <c r="L95" s="7"/>
      <c r="M95" s="1" t="s">
        <v>80</v>
      </c>
      <c r="N95" s="1" t="s">
        <v>1</v>
      </c>
      <c r="R95" s="1" t="s">
        <v>80</v>
      </c>
    </row>
    <row r="96" spans="3:18" ht="12.75">
      <c r="C96" s="1" t="s">
        <v>211</v>
      </c>
      <c r="H96" s="7"/>
      <c r="I96" s="7"/>
      <c r="J96" s="7"/>
      <c r="K96" s="7"/>
      <c r="L96" s="7"/>
      <c r="M96" s="1" t="s">
        <v>80</v>
      </c>
      <c r="N96" s="12">
        <f>N90*N69</f>
        <v>390.4173491304411</v>
      </c>
      <c r="O96" s="1" t="s">
        <v>37</v>
      </c>
      <c r="P96" s="12">
        <f>P90*N69</f>
        <v>426.32406277624176</v>
      </c>
      <c r="Q96" s="1" t="s">
        <v>40</v>
      </c>
      <c r="R96" s="1" t="s">
        <v>80</v>
      </c>
    </row>
    <row r="97" spans="8:18" ht="12.75">
      <c r="H97" s="7"/>
      <c r="I97" s="7"/>
      <c r="J97" s="7"/>
      <c r="K97" s="7"/>
      <c r="L97" s="7" t="s">
        <v>0</v>
      </c>
      <c r="M97" s="1" t="s">
        <v>80</v>
      </c>
      <c r="N97" s="12">
        <f>N91*N69</f>
        <v>390.4173491304411</v>
      </c>
      <c r="O97" s="1" t="s">
        <v>38</v>
      </c>
      <c r="P97" s="12">
        <f>P91*N69</f>
        <v>426.32406277624176</v>
      </c>
      <c r="Q97" s="1" t="s">
        <v>39</v>
      </c>
      <c r="R97" s="1" t="s">
        <v>80</v>
      </c>
    </row>
    <row r="98" spans="6:18" ht="12.75">
      <c r="F98" s="1" t="s">
        <v>30</v>
      </c>
      <c r="H98" s="19" t="s">
        <v>19</v>
      </c>
      <c r="I98" s="7"/>
      <c r="J98" s="8" t="s">
        <v>33</v>
      </c>
      <c r="K98" s="7"/>
      <c r="L98" s="7"/>
      <c r="M98" s="1" t="s">
        <v>80</v>
      </c>
      <c r="N98" s="12">
        <f>N69*N92</f>
        <v>396.5214904502272</v>
      </c>
      <c r="O98" s="1" t="s">
        <v>41</v>
      </c>
      <c r="P98" s="12">
        <f>N69*P92</f>
        <v>420.21992145645567</v>
      </c>
      <c r="Q98" s="1" t="s">
        <v>42</v>
      </c>
      <c r="R98" s="1" t="s">
        <v>80</v>
      </c>
    </row>
    <row r="99" spans="5:18" ht="12.75">
      <c r="E99" s="7"/>
      <c r="K99" s="7"/>
      <c r="L99" s="7"/>
      <c r="M99" s="1" t="s">
        <v>80</v>
      </c>
      <c r="N99" s="17">
        <f>P73</f>
        <v>1.5</v>
      </c>
      <c r="O99" s="1" t="s">
        <v>24</v>
      </c>
      <c r="P99" s="1">
        <f>N73</f>
        <v>1400</v>
      </c>
      <c r="Q99" s="1" t="s">
        <v>27</v>
      </c>
      <c r="R99" s="1" t="s">
        <v>80</v>
      </c>
    </row>
    <row r="100" spans="3:18" ht="12.75">
      <c r="C100" s="1" t="s">
        <v>78</v>
      </c>
      <c r="E100" s="11">
        <f>P101+1.5*N98</f>
        <v>-797.2650971451723</v>
      </c>
      <c r="F100" s="11">
        <f>(P101+N98)</f>
        <v>-995.5258423702858</v>
      </c>
      <c r="G100" s="11">
        <f>P101+0.5*N98</f>
        <v>-1193.7865875953994</v>
      </c>
      <c r="H100" s="16">
        <f>P101</f>
        <v>-1392.047332820513</v>
      </c>
      <c r="I100" s="11">
        <f>P101-0.5*P98</f>
        <v>-1602.1572935487409</v>
      </c>
      <c r="J100" s="11">
        <f>P101-P98</f>
        <v>-1812.2672542769687</v>
      </c>
      <c r="K100" s="11">
        <f>P101-1.5*P98</f>
        <v>-2022.3772150051964</v>
      </c>
      <c r="L100" s="7"/>
      <c r="M100" s="1" t="s">
        <v>80</v>
      </c>
      <c r="N100" s="12">
        <f>J15*N82*P82</f>
        <v>2059.4</v>
      </c>
      <c r="O100" s="1" t="s">
        <v>16</v>
      </c>
      <c r="P100" s="12">
        <f>(N77+N73*N76)*N69</f>
        <v>3451.447332820513</v>
      </c>
      <c r="Q100" s="1" t="s">
        <v>25</v>
      </c>
      <c r="R100" s="1" t="s">
        <v>80</v>
      </c>
    </row>
    <row r="101" spans="3:18" ht="12.75">
      <c r="C101" s="1" t="s">
        <v>107</v>
      </c>
      <c r="E101" s="20">
        <f>IF(O105&lt;1,IF(N105,S105,1-S105),IF(N105,S106,1-S106))</f>
        <v>0.063938095702778</v>
      </c>
      <c r="F101" s="20">
        <f>IF(U105&lt;1,IF(T105,Y105,1-Y105),IF(T105,Y106,1-Y106))</f>
        <v>0.1586783767401924</v>
      </c>
      <c r="G101" s="20">
        <f>IF(AA105&lt;1,IF(Z105,AE105,1-AE105),IF(Z105,AE106,1-AE106))</f>
        <v>0.3237105665753767</v>
      </c>
      <c r="H101" s="20">
        <f>IF(O107&lt;1,IF(N107,S107,1-S107),IF(N107,S108,1-S108))</f>
        <v>0.5181837281170851</v>
      </c>
      <c r="I101" s="21">
        <f>IF(U107&lt;1,IF(T107,Y107,1-Y107),IF(T107,Y108,1-Y108))</f>
        <v>0.7055413663109277</v>
      </c>
      <c r="J101" s="21">
        <f>IF(AA107&lt;1,IF(Z107,AE107,1-AE107),IF(Z107,AE108,1-AE108))</f>
        <v>0.8413664517563849</v>
      </c>
      <c r="K101" s="22">
        <f>IF(O109&lt;1,IF(N109,S109,1-S109),IF(N109,S110,1-S110))</f>
        <v>0.9304755283717453</v>
      </c>
      <c r="L101" s="7" t="s">
        <v>0</v>
      </c>
      <c r="M101" s="1" t="s">
        <v>80</v>
      </c>
      <c r="N101" s="12">
        <f>N100+(0.7857*(P98-N98))</f>
        <v>2078.019857241594</v>
      </c>
      <c r="O101" s="1" t="s">
        <v>26</v>
      </c>
      <c r="P101" s="12">
        <f>N100-P100</f>
        <v>-1392.047332820513</v>
      </c>
      <c r="Q101" s="1" t="s">
        <v>14</v>
      </c>
      <c r="R101" s="1" t="s">
        <v>80</v>
      </c>
    </row>
    <row r="102" spans="3:18" ht="12.75">
      <c r="C102" s="1" t="s">
        <v>107</v>
      </c>
      <c r="E102" s="23">
        <f>IF(O105&lt;1,IF(N105,1-S105,S105),IF(N105,1-S106,S106))</f>
        <v>0.936061904297222</v>
      </c>
      <c r="F102" s="23">
        <f>IF(U105&lt;1,IF(T105,1-Y105,Y105),IF(T105,1-Y106,Y106))</f>
        <v>0.8413216232598076</v>
      </c>
      <c r="G102" s="23">
        <f>IF(AA105&lt;1,IF(Z105,1-AE105,AE105),IF(Z105,1-AE106,AE106))</f>
        <v>0.6762894334246232</v>
      </c>
      <c r="H102" s="20">
        <f>IF(O107&lt;1,IF(N107,1-S107,S107),IF(N107,1-S108,S108))</f>
        <v>0.4818162718829148</v>
      </c>
      <c r="I102" s="20">
        <f>IF(U107&lt;1,IF(T107,1-Y107,Y107),IF(T107,1-Y108,Y108))</f>
        <v>0.2944586336890723</v>
      </c>
      <c r="J102" s="20">
        <f>IF(AA107&lt;1,IF(Z107,1-AE107,AE107),IF(Z107,1-AE108,AE108))</f>
        <v>0.15863354824361509</v>
      </c>
      <c r="K102" s="20">
        <f>IF(O109&lt;1,IF(N109,1-S109,S109),IF(N109,1-S110,S110))</f>
        <v>0.06952447162825469</v>
      </c>
      <c r="L102" s="7"/>
      <c r="M102" s="1" t="s">
        <v>80</v>
      </c>
      <c r="N102" s="12">
        <f>N101-P100</f>
        <v>-1373.4274755789193</v>
      </c>
      <c r="O102" s="1" t="s">
        <v>23</v>
      </c>
      <c r="P102" s="1">
        <f>P101-N102</f>
        <v>-18.619857241593763</v>
      </c>
      <c r="Q102" s="1" t="s">
        <v>15</v>
      </c>
      <c r="R102" s="1" t="s">
        <v>80</v>
      </c>
    </row>
    <row r="103" spans="5:18" ht="12.75">
      <c r="E103" s="7"/>
      <c r="F103" s="7"/>
      <c r="G103" s="7"/>
      <c r="H103" s="7"/>
      <c r="I103" s="7"/>
      <c r="J103" s="7"/>
      <c r="K103" s="7"/>
      <c r="L103" s="7"/>
      <c r="M103" s="1" t="s">
        <v>80</v>
      </c>
      <c r="N103" s="1" t="s">
        <v>1</v>
      </c>
      <c r="R103" s="1" t="s">
        <v>80</v>
      </c>
    </row>
    <row r="104" spans="3:12" ht="12.75">
      <c r="C104" s="15" t="s">
        <v>108</v>
      </c>
      <c r="E104" s="7"/>
      <c r="F104" s="24">
        <f>IF(U109&lt;1,IF(T109,Y109,1-Y109),IF(T109,Y110,1-Y110))</f>
        <v>0.00620969291581936</v>
      </c>
      <c r="G104" s="7" t="s">
        <v>5</v>
      </c>
      <c r="H104" s="7"/>
      <c r="I104" s="7"/>
      <c r="J104" s="7"/>
      <c r="K104" s="16">
        <f>N69*(H20*H21-J62)</f>
        <v>-1351.447332820513</v>
      </c>
      <c r="L104" s="7"/>
    </row>
    <row r="105" spans="8:31" ht="12.75">
      <c r="H105" s="7"/>
      <c r="I105" s="7"/>
      <c r="J105" s="7"/>
      <c r="K105" s="7"/>
      <c r="L105" s="7"/>
      <c r="N105" s="17" t="b">
        <f>+E100&gt;=N102</f>
        <v>1</v>
      </c>
      <c r="O105" s="17">
        <f>ABS((E100-P101)/IF(N105,N98,P98))</f>
        <v>1.5</v>
      </c>
      <c r="P105" s="17">
        <f>MIN(2.5,ABS((E100-(N102+P102*ABS(E100-N102)/ABS(IF(N105,N98+P102,P98-P102))*MIN(1,O105)))/(MIN(1.52,O105)/1.52*IF(N105,N96,P96)+(1.52-MIN(1.52,O105))/3.04*N97+(1.52-MIN(1.52,O105))/3.04*P97)))</f>
        <v>1.5475370382962772</v>
      </c>
      <c r="Q105" s="17">
        <f aca="true" t="shared" si="1" ref="Q105:Q110">1/(1+(0.2316419*P105))</f>
        <v>0.736119860169853</v>
      </c>
      <c r="R105" s="17">
        <f aca="true" t="shared" si="2" ref="R105:R110">0.398942281*((2.71828)^((-(P105^2)/2)))</f>
        <v>0.12046775337686887</v>
      </c>
      <c r="S105" s="17">
        <f aca="true" t="shared" si="3" ref="S105:S110">R105*(0.31938153*Q105-0.356563782*Q105^2+1.781477937*Q105^3-1.821255978*Q105^4+1.330274429*Q105^5)</f>
        <v>0.06086696286780264</v>
      </c>
      <c r="T105" s="17" t="b">
        <f>+F100&gt;=N102</f>
        <v>1</v>
      </c>
      <c r="U105" s="17">
        <f>ABS((F100-P101)/IF(T105,N98,P98))</f>
        <v>1.0000000000000002</v>
      </c>
      <c r="V105" s="17">
        <f>MIN(2.5,ABS((F100-(N102+P102*ABS(F100-N102)/ABS(IF(T105,N98+P102,P98-P102))*MIN(1,U105)))/(MIN(1.52,U105)/1.52*IF(T105,N96,P96)+(1.52-MIN(1.52,U105))/3.04*N97+(1.52-MIN(1.52,U105))/3.04*P97)))</f>
        <v>0.9999046888021044</v>
      </c>
      <c r="W105" s="17">
        <f aca="true" t="shared" si="4" ref="W105:W110">1/(1+(0.2316419*V105))</f>
        <v>0.8119388647305946</v>
      </c>
      <c r="X105" s="17">
        <f aca="true" t="shared" si="5" ref="X105:X110">0.398942281*((2.71828)^((-(V105^2)/2)))</f>
        <v>0.24199386877515647</v>
      </c>
      <c r="Y105" s="17">
        <f aca="true" t="shared" si="6" ref="Y105:Y110">X105*(0.31938153*W105-0.356563782*W105^2+1.781477937*W105^3-1.821255978*W105^4+1.330274429*W105^5)</f>
        <v>0.1586783767401924</v>
      </c>
      <c r="Z105" s="17" t="b">
        <f>+G100&gt;=N102</f>
        <v>1</v>
      </c>
      <c r="AA105" s="17">
        <f>ABS((G100-P101)/IF(Z105,N98,P98))</f>
        <v>0.5000000000000001</v>
      </c>
      <c r="AB105" s="17">
        <f>MIN(2.5,ABS((G100-(N102+P102*ABS(G100-N102)/ABS(IF(Z105,N98+P102,P98-P102))*MIN(1,AA105)))/(MIN(1.52,AA105)/1.52*IF(Z105,N96,P96)+(1.52-MIN(1.52,AA105))/3.04*N97+(1.52-MIN(1.52,AA105))/3.04*P97)))</f>
        <v>0.45734783368953413</v>
      </c>
      <c r="AC105" s="17">
        <f>1/(1+(0.2316419*AB105))</f>
        <v>0.9042074317623389</v>
      </c>
      <c r="AD105" s="17">
        <f>0.398942281*((2.71828)^((-(AB105^2)/2)))</f>
        <v>0.3593271651907048</v>
      </c>
      <c r="AE105" s="17">
        <f>AD105*(0.31938153*AC105-0.356563782*AC105^2+1.781477937*AC105^3-1.821255978*AC105^4+1.330274429*AC105^5)</f>
        <v>0.3237105665753767</v>
      </c>
    </row>
    <row r="106" spans="8:31" ht="12.75">
      <c r="H106" s="7"/>
      <c r="I106" s="7"/>
      <c r="J106" s="7"/>
      <c r="K106" s="7"/>
      <c r="L106" s="7"/>
      <c r="M106" s="1" t="s">
        <v>0</v>
      </c>
      <c r="P106" s="17">
        <f>MIN(2.5,ABS((E100-P101)/(MIN(1.52,O105)/1.52*IF(N105,N96,P96)+(1.52-MIN(1.52,O105))/3.04*N97+(1.52-MIN(1.52,O105))/3.04*P97)))</f>
        <v>1.522531137349146</v>
      </c>
      <c r="Q106" s="17">
        <f t="shared" si="1"/>
        <v>0.7392720506076723</v>
      </c>
      <c r="R106" s="17">
        <f t="shared" si="2"/>
        <v>0.12518178925070284</v>
      </c>
      <c r="S106" s="17">
        <f t="shared" si="3"/>
        <v>0.063938095702778</v>
      </c>
      <c r="V106" s="17">
        <f>MIN(2.5,ABS((F100-P101)/(MIN(1.52,U105)/1.52*IF(T105,N96,P96)+(1.52-MIN(1.52,U105))/3.04*N97+(1.52-MIN(1.52,U105))/3.04*P97)))</f>
        <v>0.9999046888021044</v>
      </c>
      <c r="W106" s="17">
        <f t="shared" si="4"/>
        <v>0.8119388647305946</v>
      </c>
      <c r="X106" s="17">
        <f t="shared" si="5"/>
        <v>0.24199386877515647</v>
      </c>
      <c r="Y106" s="17">
        <f t="shared" si="6"/>
        <v>0.1586783767401924</v>
      </c>
      <c r="AB106" s="17">
        <f>MIN(2.5,ABS((G100-P101)/(MIN(1.52,AA105)/1.52*IF(Z105,N96,P96)+(1.52-MIN(1.52,AA105))/3.04*N97+(1.52-MIN(1.52,AA105))/3.04*P97)))</f>
        <v>0.4926161205645264</v>
      </c>
      <c r="AC106" s="17">
        <f>1/(1+(0.2316419*AB106))</f>
        <v>0.8975770081678075</v>
      </c>
      <c r="AD106" s="17">
        <f>0.398942281*((2.71828)^((-(AB106^2)/2)))</f>
        <v>0.3533579294882311</v>
      </c>
      <c r="AE106" s="17">
        <f>AD106*(0.31938153*AC106-0.356563782*AC106^2+1.781477937*AC106^3-1.821255978*AC106^4+1.330274429*AC106^5)</f>
        <v>0.3111419510163338</v>
      </c>
    </row>
    <row r="107" spans="12:31" ht="12.75">
      <c r="L107" s="1" t="s">
        <v>2</v>
      </c>
      <c r="N107" s="17" t="b">
        <f>+H100&gt;=N102</f>
        <v>0</v>
      </c>
      <c r="O107" s="17">
        <f>ABS((H100-P101)/IF(N107,N98,P98))</f>
        <v>0</v>
      </c>
      <c r="P107" s="17">
        <f>MIN(2.5,ABS((H100-(N102+P102*ABS(H100-N102)/ABS(IF(N107,N98+P102,P98-P102))*MIN(1,O107)))/(MIN(1.52,O107)/1.52*IF(N107,N96,P96)+(1.52-MIN(1.52,O107))/3.04*N97+(1.52-MIN(1.52,O107))/3.04*P97)))</f>
        <v>0.045595477271381905</v>
      </c>
      <c r="Q107" s="17">
        <f t="shared" si="1"/>
        <v>0.9895485632384806</v>
      </c>
      <c r="R107" s="17">
        <f t="shared" si="2"/>
        <v>0.39852780669534194</v>
      </c>
      <c r="S107" s="17">
        <f t="shared" si="3"/>
        <v>0.4818162718829148</v>
      </c>
      <c r="T107" s="17" t="b">
        <f>+I100&gt;=N102</f>
        <v>0</v>
      </c>
      <c r="U107" s="17">
        <f>ABS((I100-P101)/IF(T107,N98,P98))</f>
        <v>0.5000000000000001</v>
      </c>
      <c r="V107" s="17">
        <f>MIN(2.5,ABS((I100-(N102+P102*ABS(I100-N102)/ABS(IF(T107,N98+P102,P98-P102))*MIN(1,U107)))/(MIN(1.52,U107)/1.52*IF(T107,N96,P96)+(1.52-MIN(1.52,U107))/3.04*N97+(1.52-MIN(1.52,U107))/3.04*P97)))</f>
        <v>0.5404057204274434</v>
      </c>
      <c r="W107" s="17">
        <f t="shared" si="4"/>
        <v>0.8887462092954111</v>
      </c>
      <c r="X107" s="17">
        <f t="shared" si="5"/>
        <v>0.3447424698766678</v>
      </c>
      <c r="Y107" s="17">
        <f t="shared" si="6"/>
        <v>0.2944586336890723</v>
      </c>
      <c r="Z107" s="17" t="b">
        <f>+J100&gt;=N102</f>
        <v>0</v>
      </c>
      <c r="AA107" s="17">
        <f>ABS((J100-P101)/IF(Z107,N98,P98))</f>
        <v>1.0000000000000002</v>
      </c>
      <c r="AB107" s="17">
        <f>MIN(2.5,ABS((J100-(N102+P102*ABS(J100-N102)/ABS(IF(Z107,N98+P102,P98-P102))*MIN(1,AA107)))/(MIN(1.52,AA107)/1.52*IF(Z107,N96,P96)+(1.52-MIN(1.52,AA107))/3.04*N97+(1.52-MIN(1.52,AA107))/3.04*P97)))</f>
        <v>1.0000899527572418</v>
      </c>
      <c r="AC107" s="17">
        <f>1/(1+(0.2316419*AB107))</f>
        <v>0.8119105742986973</v>
      </c>
      <c r="AD107" s="17">
        <f>0.398942281*((2.71828)^((-(AB107^2)/2)))</f>
        <v>0.24194904033684292</v>
      </c>
      <c r="AE107" s="17">
        <f>AD107*(0.31938153*AC107-0.356563782*AC107^2+1.781477937*AC107^3-1.821255978*AC107^4+1.330274429*AC107^5)</f>
        <v>0.15863354824361509</v>
      </c>
    </row>
    <row r="108" spans="16:31" ht="12.75">
      <c r="P108" s="17">
        <f>MIN(2.5,ABS((H100-P101)/(MIN(1.52,O107)/1.52*IF(N107,N96,P96)+(1.52-MIN(1.52,O107))/3.04*N97+(1.52-MIN(1.52,O107))/3.04*P97)))</f>
        <v>0</v>
      </c>
      <c r="Q108" s="17">
        <f t="shared" si="1"/>
        <v>1</v>
      </c>
      <c r="R108" s="17">
        <f t="shared" si="2"/>
        <v>0.398942281</v>
      </c>
      <c r="S108" s="17">
        <f t="shared" si="3"/>
        <v>0.5000000002253843</v>
      </c>
      <c r="V108" s="17">
        <f>MIN(2.5,ABS((I100-P101)/(MIN(1.52,U107)/1.52*IF(T107,N96,P96)+(1.52-MIN(1.52,U107))/3.04*N97+(1.52-MIN(1.52,U107))/3.04*P97)))</f>
        <v>0.5071733579326047</v>
      </c>
      <c r="W108" s="17">
        <f t="shared" si="4"/>
        <v>0.8948685194440961</v>
      </c>
      <c r="X108" s="17">
        <f t="shared" si="5"/>
        <v>0.35079584858474555</v>
      </c>
      <c r="Y108" s="17">
        <f t="shared" si="6"/>
        <v>0.3060166099427936</v>
      </c>
      <c r="AB108" s="17">
        <f>MIN(2.5,ABS((J100-P101)/(MIN(1.52,AA107)/1.52*IF(Z107,N96,P96)+(1.52-MIN(1.52,AA107))/3.04*N97+(1.52-MIN(1.52,AA107))/3.04*P97)))</f>
        <v>1.0000899527572418</v>
      </c>
      <c r="AC108" s="17">
        <f>1/(1+(0.2316419*AB108))</f>
        <v>0.8119105742986973</v>
      </c>
      <c r="AD108" s="17">
        <f>0.398942281*((2.71828)^((-(AB108^2)/2)))</f>
        <v>0.24194904033684292</v>
      </c>
      <c r="AE108" s="17">
        <f>AD108*(0.31938153*AC108-0.356563782*AC108^2+1.781477937*AC108^3-1.821255978*AC108^4+1.330274429*AC108^5)</f>
        <v>0.15863354824361509</v>
      </c>
    </row>
    <row r="109" spans="14:25" ht="12.75">
      <c r="N109" s="17" t="b">
        <f>+K100&gt;=N102</f>
        <v>0</v>
      </c>
      <c r="O109" s="17">
        <f>ABS((K100-P101)/IF(N109,N98,P98))</f>
        <v>1.4999999999999996</v>
      </c>
      <c r="P109" s="17">
        <f>MIN(2.5,ABS((K100-(N102+P102*ABS(K100-N102)/ABS(IF(N109,N98+P102,P98-P102))*MIN(1,O109)))/(MIN(1.52,O109)/1.52*IF(N109,N96,P96)+(1.52-MIN(1.52,O109))/3.04*N97+(1.52-MIN(1.52,O109))/3.04*P97)))</f>
        <v>1.4584198872613836</v>
      </c>
      <c r="Q109" s="17">
        <f t="shared" si="1"/>
        <v>0.7474784820543513</v>
      </c>
      <c r="R109" s="17">
        <f t="shared" si="2"/>
        <v>0.13773384711860945</v>
      </c>
      <c r="S109" s="17">
        <f t="shared" si="3"/>
        <v>0.07236251167657363</v>
      </c>
      <c r="T109" s="17" t="b">
        <f>0&gt;=N102</f>
        <v>1</v>
      </c>
      <c r="U109" s="17">
        <f>ABS((0-P101)/IF(T109,N98,P98))</f>
        <v>3.510647887558185</v>
      </c>
      <c r="V109" s="17">
        <f>MIN(2.5,ABS((0-(N102+P102*ABS(0-N102)/ABS(IF(T109,N98+P102,P98-P102))*MIN(1,U109)))/(MIN(1.52,U109)/1.52*IF(T109,N96,P96)+(1.52-MIN(1.52,U109))/3.04*N97+(1.52-MIN(1.52,U109))/3.04*P97)))</f>
        <v>2.5</v>
      </c>
      <c r="W109" s="17">
        <f t="shared" si="4"/>
        <v>0.6332702121249398</v>
      </c>
      <c r="X109" s="17">
        <f t="shared" si="5"/>
        <v>0.017528337365090806</v>
      </c>
      <c r="Y109" s="17">
        <f t="shared" si="6"/>
        <v>0.00620969291581936</v>
      </c>
    </row>
    <row r="110" spans="9:25" ht="12.75">
      <c r="I110" s="25"/>
      <c r="L110" s="1" t="s">
        <v>2</v>
      </c>
      <c r="P110" s="17">
        <f>MIN(2.5,ABS((K100-P101)/(MIN(1.52,O109)/1.52*IF(N109,N96,P96)+(1.52-MIN(1.52,O109))/3.04*N97+(1.52-MIN(1.52,O109))/3.04*P97)))</f>
        <v>1.4793425939436575</v>
      </c>
      <c r="Q110" s="17">
        <f t="shared" si="1"/>
        <v>0.7447803581182948</v>
      </c>
      <c r="R110" s="17">
        <f t="shared" si="2"/>
        <v>0.13356526411862293</v>
      </c>
      <c r="S110" s="17">
        <f t="shared" si="3"/>
        <v>0.06952447162825469</v>
      </c>
      <c r="V110" s="17">
        <f>MIN(2.5,ABS((0-P101)/(MIN(1.52,U109)/1.52*IF(T109,N96,P96)+(1.52-MIN(1.52,U109))/3.04*N97+(1.52-MIN(1.52,U109))/3.04*P97)))</f>
        <v>2.5</v>
      </c>
      <c r="W110" s="17">
        <f t="shared" si="4"/>
        <v>0.6332702121249398</v>
      </c>
      <c r="X110" s="17">
        <f t="shared" si="5"/>
        <v>0.017528337365090806</v>
      </c>
      <c r="Y110" s="17">
        <f t="shared" si="6"/>
        <v>0.00620969291581936</v>
      </c>
    </row>
    <row r="115" ht="12.75">
      <c r="B115" s="1" t="s">
        <v>81</v>
      </c>
    </row>
  </sheetData>
  <sheetProtection/>
  <mergeCells count="2">
    <mergeCell ref="F12:H12"/>
    <mergeCell ref="D82:J8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0"/>
  </sheetPr>
  <dimension ref="A1:M60"/>
  <sheetViews>
    <sheetView zoomScalePageLayoutView="0" workbookViewId="0" topLeftCell="A1">
      <selection activeCell="G65" sqref="G65"/>
    </sheetView>
  </sheetViews>
  <sheetFormatPr defaultColWidth="9.140625" defaultRowHeight="12.75"/>
  <cols>
    <col min="1" max="1" width="1.8515625" style="1" customWidth="1"/>
    <col min="2" max="2" width="9.140625" style="1" customWidth="1"/>
    <col min="3" max="3" width="30.57421875" style="1" customWidth="1"/>
    <col min="4" max="4" width="3.7109375" style="1" customWidth="1"/>
    <col min="5" max="5" width="15.421875" style="1" customWidth="1"/>
    <col min="6" max="6" width="11.8515625" style="1" customWidth="1"/>
    <col min="7" max="8" width="12.57421875" style="1" customWidth="1"/>
    <col min="9" max="9" width="12.7109375" style="1" customWidth="1"/>
    <col min="10" max="10" width="7.57421875" style="1" customWidth="1"/>
    <col min="11" max="16384" width="9.140625" style="1" customWidth="1"/>
  </cols>
  <sheetData>
    <row r="1" spans="1:12" ht="20.25">
      <c r="A1" s="205" t="s">
        <v>342</v>
      </c>
      <c r="B1" s="205"/>
      <c r="C1" s="205"/>
      <c r="D1" s="205"/>
      <c r="E1" s="205"/>
      <c r="F1" s="205"/>
      <c r="G1" s="205"/>
      <c r="H1" s="205"/>
      <c r="I1" s="205"/>
      <c r="J1" s="205"/>
      <c r="K1" s="205"/>
      <c r="L1" s="205"/>
    </row>
    <row r="2" spans="1:12" ht="20.25">
      <c r="A2" s="202" t="s">
        <v>338</v>
      </c>
      <c r="B2" s="202"/>
      <c r="C2" s="202"/>
      <c r="D2" s="202"/>
      <c r="E2" s="202"/>
      <c r="F2" s="202"/>
      <c r="G2" s="202"/>
      <c r="H2" s="202"/>
      <c r="I2" s="202"/>
      <c r="J2" s="202"/>
      <c r="K2" s="202"/>
      <c r="L2" s="202"/>
    </row>
    <row r="4" spans="2:8" ht="12.75">
      <c r="B4" s="165" t="s">
        <v>325</v>
      </c>
      <c r="C4" s="166"/>
      <c r="D4" s="166"/>
      <c r="E4" s="166"/>
      <c r="F4" s="166"/>
      <c r="G4" s="166"/>
      <c r="H4" s="166"/>
    </row>
    <row r="5" spans="2:8" ht="12.75">
      <c r="B5" s="166" t="s">
        <v>326</v>
      </c>
      <c r="C5" s="166"/>
      <c r="D5" s="166"/>
      <c r="E5" s="166"/>
      <c r="F5" s="166"/>
      <c r="G5" s="166"/>
      <c r="H5" s="166"/>
    </row>
    <row r="6" spans="2:8" ht="12.75">
      <c r="B6" s="166" t="s">
        <v>327</v>
      </c>
      <c r="C6" s="166"/>
      <c r="D6" s="166"/>
      <c r="E6" s="166"/>
      <c r="F6" s="166"/>
      <c r="G6" s="166"/>
      <c r="H6" s="166"/>
    </row>
    <row r="7" spans="2:8" ht="12.75">
      <c r="B7" s="167" t="s">
        <v>339</v>
      </c>
      <c r="C7" s="167"/>
      <c r="D7" s="167"/>
      <c r="E7" s="167"/>
      <c r="F7" s="167"/>
      <c r="G7" s="167"/>
      <c r="H7" s="167"/>
    </row>
    <row r="10" ht="12.75">
      <c r="C10" s="76"/>
    </row>
    <row r="11" spans="1:5" ht="15.75">
      <c r="A11" s="17"/>
      <c r="E11" s="59"/>
    </row>
    <row r="12" spans="1:8" ht="15.75">
      <c r="A12" s="17"/>
      <c r="C12" s="203" t="s">
        <v>303</v>
      </c>
      <c r="D12" s="195"/>
      <c r="E12" s="195"/>
      <c r="F12" s="195"/>
      <c r="G12" s="195"/>
      <c r="H12" s="195"/>
    </row>
    <row r="13" ht="12.75">
      <c r="A13" s="17"/>
    </row>
    <row r="14" spans="1:8" ht="12.75">
      <c r="A14" s="17"/>
      <c r="C14" s="208"/>
      <c r="D14" s="209"/>
      <c r="E14" s="209"/>
      <c r="F14" s="209"/>
      <c r="G14" s="209"/>
      <c r="H14" s="209"/>
    </row>
    <row r="15" spans="1:8" ht="12.75">
      <c r="A15" s="17"/>
      <c r="C15" s="196"/>
      <c r="D15" s="195"/>
      <c r="E15" s="195"/>
      <c r="F15" s="195"/>
      <c r="G15" s="195"/>
      <c r="H15" s="195"/>
    </row>
    <row r="16" ht="12.75">
      <c r="A16" s="17"/>
    </row>
    <row r="17" spans="1:13" ht="14.25">
      <c r="A17" s="17"/>
      <c r="C17" s="210"/>
      <c r="D17" s="211"/>
      <c r="E17" s="211"/>
      <c r="F17" s="211"/>
      <c r="G17" s="211"/>
      <c r="H17" s="211"/>
      <c r="M17" s="58"/>
    </row>
    <row r="18" ht="12.75">
      <c r="A18" s="17"/>
    </row>
    <row r="19" spans="1:7" ht="12.75">
      <c r="A19" s="17"/>
      <c r="B19" s="1" t="s">
        <v>101</v>
      </c>
      <c r="D19" s="1">
        <v>5</v>
      </c>
      <c r="F19" s="27">
        <v>5</v>
      </c>
      <c r="G19" s="17" t="s">
        <v>93</v>
      </c>
    </row>
    <row r="20" spans="1:6" ht="12.75">
      <c r="A20" s="17"/>
      <c r="B20" s="1" t="s">
        <v>206</v>
      </c>
      <c r="D20" s="15">
        <v>40</v>
      </c>
      <c r="E20" s="40" t="s">
        <v>334</v>
      </c>
      <c r="F20" s="15">
        <v>40</v>
      </c>
    </row>
    <row r="21" spans="1:7" ht="12.75">
      <c r="A21" s="17"/>
      <c r="B21" s="1" t="s">
        <v>149</v>
      </c>
      <c r="G21" s="33">
        <v>0.09</v>
      </c>
    </row>
    <row r="22" spans="1:7" ht="12.75">
      <c r="A22" s="17"/>
      <c r="B22" s="1" t="s">
        <v>210</v>
      </c>
      <c r="G22" s="1">
        <v>0.015</v>
      </c>
    </row>
    <row r="23" spans="1:7" ht="12.75">
      <c r="A23" s="17"/>
      <c r="B23" s="1" t="s">
        <v>114</v>
      </c>
      <c r="G23" s="1">
        <v>120</v>
      </c>
    </row>
    <row r="24" ht="12.75">
      <c r="A24" s="17"/>
    </row>
    <row r="25" ht="12.75">
      <c r="A25" s="17"/>
    </row>
    <row r="26" spans="1:2" ht="12.75">
      <c r="A26" s="17"/>
      <c r="B26" s="15" t="s">
        <v>152</v>
      </c>
    </row>
    <row r="27" ht="12.75">
      <c r="A27" s="17"/>
    </row>
    <row r="28" spans="1:9" ht="12.75">
      <c r="A28" s="17"/>
      <c r="E28" s="54" t="s">
        <v>172</v>
      </c>
      <c r="F28" s="54" t="s">
        <v>249</v>
      </c>
      <c r="G28" s="54" t="s">
        <v>113</v>
      </c>
      <c r="H28" s="37" t="s">
        <v>148</v>
      </c>
      <c r="I28" s="37" t="s">
        <v>208</v>
      </c>
    </row>
    <row r="29" spans="1:9" ht="12.75">
      <c r="A29" s="17"/>
      <c r="B29" s="1" t="s">
        <v>185</v>
      </c>
      <c r="E29" s="6">
        <v>12124</v>
      </c>
      <c r="F29" s="6">
        <v>20</v>
      </c>
      <c r="G29" s="6">
        <f aca="true" t="shared" si="0" ref="G29:G35">E29/F29</f>
        <v>606.2</v>
      </c>
      <c r="H29" s="6">
        <f>(E29/2)*G21</f>
        <v>545.5799999999999</v>
      </c>
      <c r="I29" s="6">
        <f>(E29/2)*G22</f>
        <v>90.92999999999999</v>
      </c>
    </row>
    <row r="30" spans="1:9" ht="12.75">
      <c r="A30" s="17"/>
      <c r="B30" s="1" t="s">
        <v>251</v>
      </c>
      <c r="E30" s="6">
        <v>558</v>
      </c>
      <c r="F30" s="6">
        <v>10</v>
      </c>
      <c r="G30" s="6">
        <f t="shared" si="0"/>
        <v>55.8</v>
      </c>
      <c r="H30" s="6">
        <f>(E30/2)*G21</f>
        <v>25.11</v>
      </c>
      <c r="I30" s="6">
        <f>(E30/2)*G22</f>
        <v>4.185</v>
      </c>
    </row>
    <row r="31" spans="1:9" ht="12.75">
      <c r="A31" s="17"/>
      <c r="B31" s="1" t="s">
        <v>252</v>
      </c>
      <c r="E31" s="6">
        <v>1695</v>
      </c>
      <c r="F31" s="6">
        <v>25</v>
      </c>
      <c r="G31" s="6">
        <f t="shared" si="0"/>
        <v>67.8</v>
      </c>
      <c r="H31" s="6">
        <f>(E31/2)*G21</f>
        <v>76.27499999999999</v>
      </c>
      <c r="I31" s="6">
        <f>(E31/2)*G22</f>
        <v>12.7125</v>
      </c>
    </row>
    <row r="32" spans="1:9" ht="12.75">
      <c r="A32" s="17"/>
      <c r="B32" s="1" t="s">
        <v>253</v>
      </c>
      <c r="E32" s="6">
        <v>12948</v>
      </c>
      <c r="F32" s="6">
        <v>15</v>
      </c>
      <c r="G32" s="6">
        <f t="shared" si="0"/>
        <v>863.2</v>
      </c>
      <c r="H32" s="6">
        <f>(E32/2)*G21</f>
        <v>582.66</v>
      </c>
      <c r="I32" s="6">
        <f>(E32/2)*G22</f>
        <v>97.11</v>
      </c>
    </row>
    <row r="33" spans="1:9" ht="12.75">
      <c r="A33" s="17"/>
      <c r="B33" s="1" t="s">
        <v>254</v>
      </c>
      <c r="E33" s="6">
        <v>154</v>
      </c>
      <c r="F33" s="6">
        <v>10</v>
      </c>
      <c r="G33" s="6">
        <f t="shared" si="0"/>
        <v>15.4</v>
      </c>
      <c r="H33" s="6">
        <f>(E33/2)*G21</f>
        <v>6.93</v>
      </c>
      <c r="I33" s="6">
        <f>(E33/2)*G22</f>
        <v>1.155</v>
      </c>
    </row>
    <row r="34" spans="1:9" ht="12.75">
      <c r="A34" s="17"/>
      <c r="B34" s="1" t="s">
        <v>255</v>
      </c>
      <c r="E34" s="6">
        <v>865</v>
      </c>
      <c r="F34" s="6">
        <v>20</v>
      </c>
      <c r="G34" s="6">
        <f t="shared" si="0"/>
        <v>43.25</v>
      </c>
      <c r="H34" s="6">
        <f>(E34/2)*G21</f>
        <v>38.925</v>
      </c>
      <c r="I34" s="6">
        <f>(E34/2)*G22</f>
        <v>6.4875</v>
      </c>
    </row>
    <row r="35" spans="1:9" ht="12.75">
      <c r="A35" s="17"/>
      <c r="B35" s="1" t="s">
        <v>256</v>
      </c>
      <c r="E35" s="6">
        <v>42000</v>
      </c>
      <c r="F35" s="6">
        <v>20</v>
      </c>
      <c r="G35" s="6">
        <f t="shared" si="0"/>
        <v>2100</v>
      </c>
      <c r="H35" s="6">
        <f>(E35/2)*G21</f>
        <v>1890</v>
      </c>
      <c r="I35" s="6">
        <f>(E35/2)*G22</f>
        <v>315</v>
      </c>
    </row>
    <row r="36" spans="1:9" ht="13.5" thickBot="1">
      <c r="A36" s="17"/>
      <c r="B36" s="15" t="s">
        <v>350</v>
      </c>
      <c r="E36" s="71">
        <f>SUM(E29:E35)</f>
        <v>70344</v>
      </c>
      <c r="F36" s="74"/>
      <c r="G36" s="75">
        <f>SUM(G29:G35)</f>
        <v>3751.65</v>
      </c>
      <c r="H36" s="75">
        <f>SUM(H29:H35)</f>
        <v>3165.48</v>
      </c>
      <c r="I36" s="75">
        <f>SUM(I29:I35)</f>
        <v>527.58</v>
      </c>
    </row>
    <row r="37" spans="1:9" ht="13.5" thickTop="1">
      <c r="A37" s="17"/>
      <c r="E37" s="61"/>
      <c r="F37" s="61"/>
      <c r="G37" s="61"/>
      <c r="H37" s="61"/>
      <c r="I37" s="61"/>
    </row>
    <row r="38" spans="1:9" ht="13.5" thickBot="1">
      <c r="A38" s="17"/>
      <c r="B38" s="15" t="s">
        <v>349</v>
      </c>
      <c r="E38" s="7"/>
      <c r="F38" s="7"/>
      <c r="G38" s="7"/>
      <c r="H38" s="7"/>
      <c r="I38" s="71">
        <f>G36+H36+I36</f>
        <v>7444.71</v>
      </c>
    </row>
    <row r="39" spans="1:9" ht="13.5" thickTop="1">
      <c r="A39" s="17"/>
      <c r="E39" s="7"/>
      <c r="F39" s="7"/>
      <c r="G39" s="7"/>
      <c r="H39" s="7"/>
      <c r="I39" s="61"/>
    </row>
    <row r="40" spans="1:9" ht="13.5" thickBot="1">
      <c r="A40" s="17"/>
      <c r="B40" s="15" t="s">
        <v>348</v>
      </c>
      <c r="E40" s="7"/>
      <c r="F40" s="7"/>
      <c r="G40" s="7"/>
      <c r="H40" s="7"/>
      <c r="I40" s="64">
        <f>I38/F19</f>
        <v>1488.942</v>
      </c>
    </row>
    <row r="41" spans="1:9" ht="13.5" thickTop="1">
      <c r="A41" s="17"/>
      <c r="E41" s="7"/>
      <c r="F41" s="7"/>
      <c r="G41" s="7"/>
      <c r="H41" s="7"/>
      <c r="I41" s="61"/>
    </row>
    <row r="42" spans="1:9" ht="12.75">
      <c r="A42" s="17"/>
      <c r="E42" s="7"/>
      <c r="F42" s="7"/>
      <c r="G42" s="7"/>
      <c r="H42" s="7"/>
      <c r="I42" s="7"/>
    </row>
    <row r="43" spans="1:9" ht="12.75">
      <c r="A43" s="17"/>
      <c r="B43" s="15" t="s">
        <v>175</v>
      </c>
      <c r="E43" s="7"/>
      <c r="F43" s="7"/>
      <c r="G43" s="7"/>
      <c r="H43" s="7"/>
      <c r="I43" s="7"/>
    </row>
    <row r="44" spans="1:9" ht="12.75">
      <c r="A44" s="17"/>
      <c r="E44" s="7"/>
      <c r="F44" s="7"/>
      <c r="G44" s="7"/>
      <c r="H44" s="7"/>
      <c r="I44" s="7"/>
    </row>
    <row r="45" spans="1:9" ht="12.75">
      <c r="A45" s="17"/>
      <c r="B45" s="1" t="s">
        <v>170</v>
      </c>
      <c r="E45" s="7"/>
      <c r="F45" s="7"/>
      <c r="G45" s="6">
        <v>7.5</v>
      </c>
      <c r="H45" s="7"/>
      <c r="I45" s="7"/>
    </row>
    <row r="46" spans="1:9" ht="12.75">
      <c r="A46" s="17"/>
      <c r="B46" s="1" t="s">
        <v>200</v>
      </c>
      <c r="E46" s="7"/>
      <c r="F46" s="7"/>
      <c r="G46" s="6">
        <f>(E36-E34-E35)*0.005+25+(E30*0.12)</f>
        <v>229.35500000000002</v>
      </c>
      <c r="H46" s="7"/>
      <c r="I46" s="7"/>
    </row>
    <row r="47" spans="1:9" ht="12.75">
      <c r="A47" s="17"/>
      <c r="B47" s="1" t="s">
        <v>98</v>
      </c>
      <c r="E47" s="7"/>
      <c r="F47" s="7"/>
      <c r="G47" s="6">
        <v>1820</v>
      </c>
      <c r="H47" s="7"/>
      <c r="I47" s="7"/>
    </row>
    <row r="48" spans="1:9" ht="12.75">
      <c r="A48" s="17"/>
      <c r="B48" s="1" t="s">
        <v>117</v>
      </c>
      <c r="E48" s="7"/>
      <c r="F48" s="7"/>
      <c r="G48" s="6"/>
      <c r="H48" s="7"/>
      <c r="I48" s="7"/>
    </row>
    <row r="49" spans="1:9" ht="12.75">
      <c r="A49" s="17"/>
      <c r="B49" s="1" t="s">
        <v>13</v>
      </c>
      <c r="E49" s="7"/>
      <c r="F49" s="7"/>
      <c r="G49" s="6">
        <f>G45*12</f>
        <v>90</v>
      </c>
      <c r="H49" s="7"/>
      <c r="I49" s="7"/>
    </row>
    <row r="50" spans="1:9" ht="12.75">
      <c r="A50" s="17"/>
      <c r="B50" s="1" t="s">
        <v>34</v>
      </c>
      <c r="E50" s="7"/>
      <c r="F50" s="7"/>
      <c r="G50" s="8">
        <v>0.125</v>
      </c>
      <c r="H50" s="7"/>
      <c r="I50" s="7"/>
    </row>
    <row r="51" spans="1:9" ht="12.75">
      <c r="A51" s="17"/>
      <c r="B51" s="1" t="s">
        <v>96</v>
      </c>
      <c r="E51" s="7"/>
      <c r="F51" s="7"/>
      <c r="G51" s="6">
        <f>(G45*0.746*G50*G47)+G49</f>
        <v>1362.8625</v>
      </c>
      <c r="H51" s="7"/>
      <c r="I51" s="7"/>
    </row>
    <row r="52" spans="1:9" ht="12.75">
      <c r="A52" s="17"/>
      <c r="B52" s="1" t="s">
        <v>97</v>
      </c>
      <c r="E52" s="7"/>
      <c r="F52" s="7"/>
      <c r="G52" s="7"/>
      <c r="H52" s="7"/>
      <c r="I52" s="8">
        <f>G51/F19</f>
        <v>272.5725</v>
      </c>
    </row>
    <row r="53" spans="1:9" ht="13.5" thickBot="1">
      <c r="A53" s="17"/>
      <c r="B53" s="15" t="s">
        <v>351</v>
      </c>
      <c r="E53" s="7"/>
      <c r="F53" s="7"/>
      <c r="G53" s="7"/>
      <c r="H53" s="7"/>
      <c r="I53" s="64">
        <f>(G46+G51)/F19</f>
        <v>318.4435</v>
      </c>
    </row>
    <row r="54" spans="1:9" ht="13.5" thickTop="1">
      <c r="A54" s="17"/>
      <c r="E54" s="7"/>
      <c r="F54" s="7"/>
      <c r="G54" s="7"/>
      <c r="H54" s="7"/>
      <c r="I54" s="61"/>
    </row>
    <row r="55" spans="1:9" ht="12.75">
      <c r="A55" s="17"/>
      <c r="E55" s="7"/>
      <c r="F55" s="7"/>
      <c r="G55" s="7"/>
      <c r="H55" s="7"/>
      <c r="I55" s="7"/>
    </row>
    <row r="56" spans="1:9" ht="13.5" thickBot="1">
      <c r="A56" s="17"/>
      <c r="B56" s="15" t="s">
        <v>347</v>
      </c>
      <c r="E56" s="7"/>
      <c r="F56" s="7"/>
      <c r="G56" s="7"/>
      <c r="H56" s="7"/>
      <c r="I56" s="64">
        <f>I40+I53</f>
        <v>1807.3854999999999</v>
      </c>
    </row>
    <row r="57" spans="1:9" ht="13.5" thickTop="1">
      <c r="A57" s="17"/>
      <c r="E57" s="7"/>
      <c r="F57" s="7"/>
      <c r="G57" s="7"/>
      <c r="H57" s="7"/>
      <c r="I57" s="61"/>
    </row>
    <row r="58" spans="1:9" ht="12.75">
      <c r="A58" s="17"/>
      <c r="E58" s="7"/>
      <c r="F58" s="7"/>
      <c r="G58" s="7"/>
      <c r="H58" s="7"/>
      <c r="I58" s="7"/>
    </row>
    <row r="59" spans="1:9" ht="12.75">
      <c r="A59" s="17"/>
      <c r="E59" s="7"/>
      <c r="F59" s="7"/>
      <c r="G59" s="7"/>
      <c r="H59" s="7"/>
      <c r="I59" s="7"/>
    </row>
    <row r="60" spans="1:9" ht="12.75">
      <c r="A60" s="17"/>
      <c r="E60" s="7"/>
      <c r="F60" s="7"/>
      <c r="G60" s="7"/>
      <c r="H60" s="7"/>
      <c r="I60" s="7"/>
    </row>
    <row r="61" ht="12.75"/>
    <row r="62" ht="12.75"/>
    <row r="63" ht="12.75"/>
  </sheetData>
  <sheetProtection/>
  <mergeCells count="6">
    <mergeCell ref="A1:L1"/>
    <mergeCell ref="A2:L2"/>
    <mergeCell ref="C12:H12"/>
    <mergeCell ref="C14:H14"/>
    <mergeCell ref="C15:H15"/>
    <mergeCell ref="C17:H17"/>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indexed="27"/>
  </sheetPr>
  <dimension ref="A2:L57"/>
  <sheetViews>
    <sheetView zoomScalePageLayoutView="0" workbookViewId="0" topLeftCell="A1">
      <selection activeCell="G60" sqref="G60"/>
    </sheetView>
  </sheetViews>
  <sheetFormatPr defaultColWidth="9.140625" defaultRowHeight="12.75"/>
  <cols>
    <col min="1" max="1" width="3.140625" style="1" customWidth="1"/>
    <col min="2" max="2" width="14.421875" style="1" customWidth="1"/>
    <col min="3" max="3" width="27.7109375" style="1" customWidth="1"/>
    <col min="4" max="4" width="15.28125" style="1" customWidth="1"/>
    <col min="5" max="5" width="17.28125" style="1" customWidth="1"/>
    <col min="6" max="7" width="20.28125" style="1" customWidth="1"/>
    <col min="8" max="8" width="21.00390625" style="1" customWidth="1"/>
    <col min="9" max="16384" width="9.140625" style="1" customWidth="1"/>
  </cols>
  <sheetData>
    <row r="2" spans="2:4" ht="12.75">
      <c r="B2" s="76"/>
      <c r="D2" s="47"/>
    </row>
    <row r="4" spans="1:12" ht="20.25">
      <c r="A4" s="205" t="s">
        <v>342</v>
      </c>
      <c r="B4" s="205"/>
      <c r="C4" s="205"/>
      <c r="D4" s="205"/>
      <c r="E4" s="205"/>
      <c r="F4" s="205"/>
      <c r="G4" s="205"/>
      <c r="H4" s="205"/>
      <c r="I4" s="205"/>
      <c r="J4" s="205"/>
      <c r="K4" s="205"/>
      <c r="L4" s="205"/>
    </row>
    <row r="5" spans="1:12" ht="20.25">
      <c r="A5" s="205" t="s">
        <v>338</v>
      </c>
      <c r="B5" s="205"/>
      <c r="C5" s="205"/>
      <c r="D5" s="205"/>
      <c r="E5" s="205"/>
      <c r="F5" s="205"/>
      <c r="G5" s="205"/>
      <c r="H5" s="205"/>
      <c r="I5" s="205"/>
      <c r="J5" s="205"/>
      <c r="K5" s="205"/>
      <c r="L5" s="205"/>
    </row>
    <row r="6" spans="2:8" ht="12.75">
      <c r="B6" s="171"/>
      <c r="C6" s="172"/>
      <c r="D6" s="172"/>
      <c r="E6" s="172"/>
      <c r="F6" s="172"/>
      <c r="G6" s="172"/>
      <c r="H6" s="92"/>
    </row>
    <row r="8" spans="3:7" ht="12.75">
      <c r="C8" s="212"/>
      <c r="D8" s="213"/>
      <c r="E8" s="213"/>
      <c r="F8" s="213"/>
      <c r="G8" s="214"/>
    </row>
    <row r="9" spans="3:7" ht="15.75">
      <c r="C9" s="203" t="s">
        <v>354</v>
      </c>
      <c r="D9" s="215"/>
      <c r="E9" s="215"/>
      <c r="F9" s="215"/>
      <c r="G9" s="215"/>
    </row>
    <row r="11" spans="2:6" ht="12.75">
      <c r="B11" s="1" t="s">
        <v>101</v>
      </c>
      <c r="E11" s="9">
        <v>5</v>
      </c>
      <c r="F11" s="8" t="s">
        <v>93</v>
      </c>
    </row>
    <row r="12" spans="2:6" ht="12.75">
      <c r="B12" s="1" t="s">
        <v>269</v>
      </c>
      <c r="C12" s="1">
        <v>40</v>
      </c>
      <c r="D12" s="1" t="s">
        <v>104</v>
      </c>
      <c r="E12" s="7">
        <v>45</v>
      </c>
      <c r="F12" s="7"/>
    </row>
    <row r="13" spans="2:6" ht="12.75">
      <c r="B13" s="1" t="s">
        <v>149</v>
      </c>
      <c r="E13" s="7"/>
      <c r="F13" s="34">
        <v>0.09</v>
      </c>
    </row>
    <row r="14" spans="2:6" ht="12.75">
      <c r="B14" s="1" t="s">
        <v>210</v>
      </c>
      <c r="E14" s="7"/>
      <c r="F14" s="7">
        <v>0.015</v>
      </c>
    </row>
    <row r="15" spans="2:6" ht="12.75">
      <c r="B15" s="1" t="s">
        <v>114</v>
      </c>
      <c r="E15" s="7"/>
      <c r="F15" s="6">
        <v>600</v>
      </c>
    </row>
    <row r="17" ht="12.75">
      <c r="B17" s="15" t="s">
        <v>152</v>
      </c>
    </row>
    <row r="18" spans="4:8" ht="12.75">
      <c r="D18" s="19" t="s">
        <v>172</v>
      </c>
      <c r="E18" s="19" t="s">
        <v>249</v>
      </c>
      <c r="F18" s="19" t="s">
        <v>113</v>
      </c>
      <c r="G18" s="10" t="s">
        <v>148</v>
      </c>
      <c r="H18" s="10" t="s">
        <v>208</v>
      </c>
    </row>
    <row r="20" spans="2:8" ht="12.75">
      <c r="B20" s="40" t="s">
        <v>270</v>
      </c>
      <c r="D20" s="6">
        <v>5650</v>
      </c>
      <c r="E20" s="6">
        <v>20</v>
      </c>
      <c r="F20" s="6">
        <f aca="true" t="shared" si="0" ref="F20:F30">D20/E20</f>
        <v>282.5</v>
      </c>
      <c r="G20" s="6">
        <f>(D20/2)*F13</f>
        <v>254.25</v>
      </c>
      <c r="H20" s="6">
        <f>(D20/2)*F14</f>
        <v>42.375</v>
      </c>
    </row>
    <row r="21" spans="2:8" ht="12.75">
      <c r="B21" s="40" t="s">
        <v>280</v>
      </c>
      <c r="D21" s="6">
        <v>1648</v>
      </c>
      <c r="E21" s="6">
        <v>10</v>
      </c>
      <c r="F21" s="6">
        <f t="shared" si="0"/>
        <v>164.8</v>
      </c>
      <c r="G21" s="6">
        <f>(D21/2)*F13</f>
        <v>74.16</v>
      </c>
      <c r="H21" s="6">
        <f>(D21/2)*F14</f>
        <v>12.36</v>
      </c>
    </row>
    <row r="22" spans="2:8" ht="12.75">
      <c r="B22" s="40" t="s">
        <v>271</v>
      </c>
      <c r="D22" s="6">
        <v>58853</v>
      </c>
      <c r="E22" s="6">
        <v>25</v>
      </c>
      <c r="F22" s="6">
        <f t="shared" si="0"/>
        <v>2354.12</v>
      </c>
      <c r="G22" s="6">
        <f>(D22/2)*F13</f>
        <v>2648.3849999999998</v>
      </c>
      <c r="H22" s="6">
        <f>(D22/2)*F14</f>
        <v>441.3975</v>
      </c>
    </row>
    <row r="23" spans="2:8" ht="12.75">
      <c r="B23" s="1" t="s">
        <v>279</v>
      </c>
      <c r="D23" s="6">
        <v>18833</v>
      </c>
      <c r="E23" s="6">
        <v>15</v>
      </c>
      <c r="F23" s="6">
        <f t="shared" si="0"/>
        <v>1255.5333333333333</v>
      </c>
      <c r="G23" s="6">
        <f>(D23/2)*F13</f>
        <v>847.485</v>
      </c>
      <c r="H23" s="6">
        <f>(D23/2)*F$13</f>
        <v>847.485</v>
      </c>
    </row>
    <row r="24" spans="2:8" ht="12.75">
      <c r="B24" s="1" t="s">
        <v>272</v>
      </c>
      <c r="D24" s="6">
        <v>1177</v>
      </c>
      <c r="E24" s="6">
        <v>10</v>
      </c>
      <c r="F24" s="6">
        <f t="shared" si="0"/>
        <v>117.7</v>
      </c>
      <c r="G24" s="6">
        <f>(D25/2)*F13</f>
        <v>105.92999999999999</v>
      </c>
      <c r="H24" s="6">
        <f>(D24/2)*F14</f>
        <v>8.827499999999999</v>
      </c>
    </row>
    <row r="25" spans="2:8" ht="12.75">
      <c r="B25" s="1" t="s">
        <v>273</v>
      </c>
      <c r="D25" s="6">
        <v>2354</v>
      </c>
      <c r="E25" s="6">
        <v>5</v>
      </c>
      <c r="F25" s="6">
        <f t="shared" si="0"/>
        <v>470.8</v>
      </c>
      <c r="G25" s="6">
        <f>(D25/2)*F13</f>
        <v>105.92999999999999</v>
      </c>
      <c r="H25" s="6">
        <f>(D25/2)*F$13</f>
        <v>105.92999999999999</v>
      </c>
    </row>
    <row r="26" spans="2:8" ht="12.75">
      <c r="B26" s="1" t="s">
        <v>274</v>
      </c>
      <c r="D26" s="6">
        <v>2472</v>
      </c>
      <c r="E26" s="6">
        <v>5</v>
      </c>
      <c r="F26" s="6">
        <f t="shared" si="0"/>
        <v>494.4</v>
      </c>
      <c r="G26" s="6">
        <f>(D26/2)*F13</f>
        <v>111.24</v>
      </c>
      <c r="H26" s="6">
        <f>(D26/2)*F$13</f>
        <v>111.24</v>
      </c>
    </row>
    <row r="27" spans="2:8" ht="12.75">
      <c r="B27" s="1" t="s">
        <v>275</v>
      </c>
      <c r="D27" s="6">
        <v>3060</v>
      </c>
      <c r="E27" s="6">
        <v>5</v>
      </c>
      <c r="F27" s="6">
        <f t="shared" si="0"/>
        <v>612</v>
      </c>
      <c r="G27" s="6">
        <f>(D27/2)*F13</f>
        <v>137.7</v>
      </c>
      <c r="H27" s="6">
        <f>(D27/2)*F$13</f>
        <v>137.7</v>
      </c>
    </row>
    <row r="28" spans="2:8" ht="12.75">
      <c r="B28" s="1" t="s">
        <v>276</v>
      </c>
      <c r="D28" s="6">
        <v>4826</v>
      </c>
      <c r="E28" s="6">
        <v>20</v>
      </c>
      <c r="F28" s="6">
        <f t="shared" si="0"/>
        <v>241.3</v>
      </c>
      <c r="G28" s="6">
        <f>(D28/2)*F13</f>
        <v>217.17</v>
      </c>
      <c r="H28" s="6">
        <f>(D28/2)*F14</f>
        <v>36.195</v>
      </c>
    </row>
    <row r="29" spans="2:8" ht="12.75">
      <c r="B29" s="1" t="s">
        <v>277</v>
      </c>
      <c r="D29" s="6">
        <v>735</v>
      </c>
      <c r="E29" s="6">
        <v>5</v>
      </c>
      <c r="F29" s="6">
        <f t="shared" si="0"/>
        <v>147</v>
      </c>
      <c r="G29" s="6">
        <f>(D29/2)*F13</f>
        <v>33.074999999999996</v>
      </c>
      <c r="H29" s="6">
        <f>(D29/2)*F14</f>
        <v>5.5125</v>
      </c>
    </row>
    <row r="30" spans="2:8" ht="12.75">
      <c r="B30" s="1" t="s">
        <v>278</v>
      </c>
      <c r="D30" s="6">
        <v>1766</v>
      </c>
      <c r="E30" s="6">
        <v>20</v>
      </c>
      <c r="F30" s="6">
        <f t="shared" si="0"/>
        <v>88.3</v>
      </c>
      <c r="G30" s="6">
        <f>(D30/2)*F13</f>
        <v>79.47</v>
      </c>
      <c r="H30" s="6">
        <f>(D30/2)*F14</f>
        <v>13.245</v>
      </c>
    </row>
    <row r="31" spans="2:8" ht="13.5" thickBot="1">
      <c r="B31" s="15" t="s">
        <v>227</v>
      </c>
      <c r="D31" s="71">
        <f>SUM(D20:D30)</f>
        <v>101374</v>
      </c>
      <c r="E31" s="74"/>
      <c r="F31" s="75">
        <f>SUM(F20:F30)</f>
        <v>6228.453333333334</v>
      </c>
      <c r="G31" s="75">
        <f>SUM(G20:G30)</f>
        <v>4614.794999999999</v>
      </c>
      <c r="H31" s="75">
        <f>SUM(H20:H30)</f>
        <v>1762.2675000000002</v>
      </c>
    </row>
    <row r="32" spans="4:8" ht="13.5" thickTop="1">
      <c r="D32" s="61"/>
      <c r="E32" s="61"/>
      <c r="F32" s="61"/>
      <c r="G32" s="61"/>
      <c r="H32" s="61"/>
    </row>
    <row r="33" spans="2:8" ht="13.5" thickBot="1">
      <c r="B33" s="15" t="s">
        <v>349</v>
      </c>
      <c r="D33" s="7"/>
      <c r="E33" s="7"/>
      <c r="F33" s="7"/>
      <c r="G33" s="7"/>
      <c r="H33" s="71">
        <f>F31+G31+H31</f>
        <v>12605.515833333333</v>
      </c>
    </row>
    <row r="34" spans="4:8" ht="13.5" thickTop="1">
      <c r="D34" s="7"/>
      <c r="E34" s="7"/>
      <c r="F34" s="7"/>
      <c r="G34" s="7"/>
      <c r="H34" s="61"/>
    </row>
    <row r="35" spans="2:8" ht="13.5" thickBot="1">
      <c r="B35" s="15" t="s">
        <v>352</v>
      </c>
      <c r="D35" s="7"/>
      <c r="E35" s="7"/>
      <c r="F35" s="7"/>
      <c r="G35" s="7"/>
      <c r="H35" s="64">
        <f>H33/E11</f>
        <v>2521.1031666666668</v>
      </c>
    </row>
    <row r="36" spans="4:8" ht="13.5" thickTop="1">
      <c r="D36" s="7"/>
      <c r="E36" s="7"/>
      <c r="F36" s="7"/>
      <c r="G36" s="7"/>
      <c r="H36" s="61"/>
    </row>
    <row r="37" spans="4:8" ht="12.75">
      <c r="D37" s="7"/>
      <c r="E37" s="7"/>
      <c r="F37" s="7"/>
      <c r="G37" s="7"/>
      <c r="H37" s="7"/>
    </row>
    <row r="38" spans="2:8" ht="12.75">
      <c r="B38" s="15" t="s">
        <v>175</v>
      </c>
      <c r="D38" s="7"/>
      <c r="E38" s="7"/>
      <c r="F38" s="7"/>
      <c r="G38" s="7"/>
      <c r="H38" s="7"/>
    </row>
    <row r="39" spans="4:8" ht="12.75">
      <c r="D39" s="7"/>
      <c r="E39" s="7"/>
      <c r="F39" s="7"/>
      <c r="G39" s="7"/>
      <c r="H39" s="7"/>
    </row>
    <row r="40" spans="2:8" ht="12.75">
      <c r="B40" s="1" t="s">
        <v>170</v>
      </c>
      <c r="D40" s="7"/>
      <c r="E40" s="7"/>
      <c r="F40" s="7">
        <v>50</v>
      </c>
      <c r="G40" s="7"/>
      <c r="H40" s="7"/>
    </row>
    <row r="41" spans="2:8" ht="12.75">
      <c r="B41" s="1" t="s">
        <v>200</v>
      </c>
      <c r="D41" s="7"/>
      <c r="E41" s="7"/>
      <c r="F41" s="6">
        <v>625</v>
      </c>
      <c r="G41" s="7"/>
      <c r="H41" s="7"/>
    </row>
    <row r="42" spans="2:8" ht="12.75">
      <c r="B42" s="1" t="s">
        <v>98</v>
      </c>
      <c r="D42" s="7"/>
      <c r="E42" s="7"/>
      <c r="F42" s="7">
        <v>100</v>
      </c>
      <c r="G42" s="7"/>
      <c r="H42" s="7"/>
    </row>
    <row r="43" spans="2:8" ht="12.75">
      <c r="B43" s="1" t="s">
        <v>117</v>
      </c>
      <c r="D43" s="7"/>
      <c r="E43" s="7"/>
      <c r="F43" s="7"/>
      <c r="G43" s="7"/>
      <c r="H43" s="7"/>
    </row>
    <row r="44" spans="2:8" ht="12.75">
      <c r="B44" s="1" t="s">
        <v>13</v>
      </c>
      <c r="D44" s="7"/>
      <c r="E44" s="7"/>
      <c r="F44" s="7">
        <v>1100</v>
      </c>
      <c r="G44" s="7"/>
      <c r="H44" s="7"/>
    </row>
    <row r="45" spans="2:8" ht="12.75">
      <c r="B45" s="1" t="s">
        <v>34</v>
      </c>
      <c r="D45" s="7"/>
      <c r="E45" s="7"/>
      <c r="F45" s="7">
        <v>0.125</v>
      </c>
      <c r="G45" s="7"/>
      <c r="H45" s="7"/>
    </row>
    <row r="46" spans="2:8" ht="12.75">
      <c r="B46" s="1" t="s">
        <v>96</v>
      </c>
      <c r="D46" s="7"/>
      <c r="E46" s="7"/>
      <c r="F46" s="6">
        <v>1245</v>
      </c>
      <c r="G46" s="7"/>
      <c r="H46" s="7"/>
    </row>
    <row r="47" spans="2:8" ht="12.75">
      <c r="B47" s="1" t="s">
        <v>97</v>
      </c>
      <c r="D47" s="7"/>
      <c r="E47" s="7"/>
      <c r="F47" s="7"/>
      <c r="G47" s="7"/>
      <c r="H47" s="8">
        <f>F46/E11</f>
        <v>249</v>
      </c>
    </row>
    <row r="48" spans="2:8" ht="13.5" thickBot="1">
      <c r="B48" s="15" t="s">
        <v>351</v>
      </c>
      <c r="D48" s="7"/>
      <c r="E48" s="7"/>
      <c r="F48" s="7"/>
      <c r="G48" s="7"/>
      <c r="H48" s="64">
        <f>(F41+F46)/E11</f>
        <v>374</v>
      </c>
    </row>
    <row r="49" spans="4:8" ht="13.5" thickTop="1">
      <c r="D49" s="7"/>
      <c r="E49" s="7"/>
      <c r="F49" s="7"/>
      <c r="G49" s="7"/>
      <c r="H49" s="61"/>
    </row>
    <row r="50" spans="2:8" ht="13.5" thickBot="1">
      <c r="B50" s="15" t="s">
        <v>353</v>
      </c>
      <c r="D50" s="7"/>
      <c r="E50" s="7"/>
      <c r="F50" s="7"/>
      <c r="G50" s="7"/>
      <c r="H50" s="64">
        <f>H35+H48</f>
        <v>2895.1031666666668</v>
      </c>
    </row>
    <row r="51" spans="1:8" ht="13.5" thickTop="1">
      <c r="A51" s="1" t="s">
        <v>81</v>
      </c>
      <c r="D51" s="7"/>
      <c r="E51" s="7"/>
      <c r="F51" s="7"/>
      <c r="G51" s="7"/>
      <c r="H51" s="61"/>
    </row>
    <row r="52" spans="4:8" ht="12.75">
      <c r="D52" s="7"/>
      <c r="E52" s="7"/>
      <c r="F52" s="7"/>
      <c r="G52" s="7"/>
      <c r="H52" s="7"/>
    </row>
    <row r="53" spans="2:10" ht="12.75">
      <c r="B53" s="47"/>
      <c r="C53" s="47"/>
      <c r="D53" s="47"/>
      <c r="E53" s="47"/>
      <c r="F53" s="47"/>
      <c r="G53" s="47"/>
      <c r="H53" s="47"/>
      <c r="I53" s="47"/>
      <c r="J53" s="47"/>
    </row>
    <row r="54" spans="2:10" ht="12.75">
      <c r="B54" s="47"/>
      <c r="C54" s="47"/>
      <c r="D54" s="47"/>
      <c r="E54" s="47"/>
      <c r="F54" s="47"/>
      <c r="G54" s="47"/>
      <c r="H54" s="47"/>
      <c r="I54" s="47"/>
      <c r="J54" s="47"/>
    </row>
    <row r="55" spans="2:10" ht="12.75">
      <c r="B55" s="47"/>
      <c r="C55" s="47"/>
      <c r="D55" s="47"/>
      <c r="E55" s="47"/>
      <c r="F55" s="47"/>
      <c r="G55" s="47"/>
      <c r="H55" s="47"/>
      <c r="I55" s="47"/>
      <c r="J55" s="47"/>
    </row>
    <row r="56" spans="2:10" ht="12.75">
      <c r="B56" s="47"/>
      <c r="C56" s="47"/>
      <c r="D56" s="47"/>
      <c r="E56" s="47"/>
      <c r="F56" s="47"/>
      <c r="G56" s="47"/>
      <c r="H56" s="47"/>
      <c r="I56" s="47"/>
      <c r="J56" s="47"/>
    </row>
    <row r="57" spans="2:10" ht="12.75">
      <c r="B57" s="47"/>
      <c r="C57" s="47"/>
      <c r="D57" s="47"/>
      <c r="E57" s="47"/>
      <c r="F57" s="47"/>
      <c r="G57" s="47"/>
      <c r="H57" s="47"/>
      <c r="I57" s="47"/>
      <c r="J57" s="47"/>
    </row>
    <row r="58" ht="12.75"/>
  </sheetData>
  <sheetProtection/>
  <mergeCells count="4">
    <mergeCell ref="A4:L4"/>
    <mergeCell ref="A5:L5"/>
    <mergeCell ref="C8:G8"/>
    <mergeCell ref="C9:G9"/>
  </mergeCells>
  <printOptions/>
  <pageMargins left="0.75" right="0.75" top="1" bottom="1" header="0.5" footer="0.5"/>
  <pageSetup horizontalDpi="600" verticalDpi="600" orientation="portrait"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tabColor indexed="28"/>
  </sheetPr>
  <dimension ref="A1:L35"/>
  <sheetViews>
    <sheetView zoomScalePageLayoutView="0" workbookViewId="0" topLeftCell="A1">
      <selection activeCell="I36" sqref="I36"/>
    </sheetView>
  </sheetViews>
  <sheetFormatPr defaultColWidth="9.140625" defaultRowHeight="12.75"/>
  <cols>
    <col min="1" max="2" width="9.140625" style="1" customWidth="1"/>
    <col min="3" max="3" width="14.28125" style="1" customWidth="1"/>
    <col min="4" max="4" width="14.57421875" style="1" customWidth="1"/>
    <col min="5" max="5" width="10.421875" style="1" customWidth="1"/>
    <col min="6" max="6" width="17.57421875" style="1" customWidth="1"/>
    <col min="7" max="7" width="17.8515625" style="1" customWidth="1"/>
    <col min="8" max="8" width="19.28125" style="1" customWidth="1"/>
    <col min="9" max="16384" width="9.140625" style="1" customWidth="1"/>
  </cols>
  <sheetData>
    <row r="1" spans="1:12" ht="20.25">
      <c r="A1" s="205" t="s">
        <v>342</v>
      </c>
      <c r="B1" s="205"/>
      <c r="C1" s="205"/>
      <c r="D1" s="205"/>
      <c r="E1" s="205"/>
      <c r="F1" s="205"/>
      <c r="G1" s="205"/>
      <c r="H1" s="205"/>
      <c r="I1" s="205"/>
      <c r="J1" s="205"/>
      <c r="K1" s="205"/>
      <c r="L1" s="205"/>
    </row>
    <row r="2" spans="1:12" ht="20.25">
      <c r="A2" s="205" t="s">
        <v>338</v>
      </c>
      <c r="B2" s="205"/>
      <c r="C2" s="205"/>
      <c r="D2" s="205"/>
      <c r="E2" s="205"/>
      <c r="F2" s="205"/>
      <c r="G2" s="205"/>
      <c r="H2" s="205"/>
      <c r="I2" s="205"/>
      <c r="J2" s="205"/>
      <c r="K2" s="205"/>
      <c r="L2" s="205"/>
    </row>
    <row r="6" ht="12.75">
      <c r="B6" s="89"/>
    </row>
    <row r="8" spans="4:6" ht="15.75">
      <c r="D8" s="203" t="s">
        <v>355</v>
      </c>
      <c r="E8" s="204"/>
      <c r="F8" s="204"/>
    </row>
    <row r="10" ht="12.75">
      <c r="C10" s="15" t="s">
        <v>213</v>
      </c>
    </row>
    <row r="12" spans="2:8" ht="12.75">
      <c r="B12" s="7"/>
      <c r="C12" s="7"/>
      <c r="D12" s="7"/>
      <c r="E12" s="7"/>
      <c r="F12" s="7" t="s">
        <v>201</v>
      </c>
      <c r="G12" s="7"/>
      <c r="H12" s="7" t="s">
        <v>201</v>
      </c>
    </row>
    <row r="13" spans="2:8" ht="12.75">
      <c r="B13" s="7" t="s">
        <v>245</v>
      </c>
      <c r="C13" s="7" t="s">
        <v>246</v>
      </c>
      <c r="D13" s="7" t="s">
        <v>191</v>
      </c>
      <c r="E13" s="7" t="s">
        <v>239</v>
      </c>
      <c r="F13" s="7" t="s">
        <v>239</v>
      </c>
      <c r="G13" s="7" t="s">
        <v>221</v>
      </c>
      <c r="H13" s="7" t="s">
        <v>221</v>
      </c>
    </row>
    <row r="15" spans="2:8" ht="12.75">
      <c r="B15" s="7">
        <v>1</v>
      </c>
      <c r="C15" s="7">
        <v>0</v>
      </c>
      <c r="D15" s="14">
        <v>0</v>
      </c>
      <c r="E15" s="8">
        <f>+Yr1!H29</f>
        <v>6609.958500000001</v>
      </c>
      <c r="F15" s="8">
        <f aca="true" t="shared" si="0" ref="F15:F29">(C15*D15)-E15</f>
        <v>-6609.958500000001</v>
      </c>
      <c r="G15" s="8">
        <f>Yr1!H38</f>
        <v>11681.19653196</v>
      </c>
      <c r="H15" s="8">
        <f aca="true" t="shared" si="1" ref="H15:H29">(C15*D15)-G15</f>
        <v>-11681.19653196</v>
      </c>
    </row>
    <row r="16" spans="2:8" ht="12.75">
      <c r="B16" s="7">
        <v>2</v>
      </c>
      <c r="C16" s="7">
        <v>0</v>
      </c>
      <c r="D16" s="14">
        <v>0</v>
      </c>
      <c r="E16" s="8">
        <f>+Yr2!H24</f>
        <v>4396.94225</v>
      </c>
      <c r="F16" s="8">
        <f t="shared" si="0"/>
        <v>-4396.94225</v>
      </c>
      <c r="G16" s="8">
        <f>+Yr2!H34</f>
        <v>9136.22784446</v>
      </c>
      <c r="H16" s="8">
        <f t="shared" si="1"/>
        <v>-9136.22784446</v>
      </c>
    </row>
    <row r="17" spans="2:8" ht="12.75">
      <c r="B17" s="7">
        <v>3</v>
      </c>
      <c r="C17" s="7">
        <v>0</v>
      </c>
      <c r="D17" s="14">
        <v>0</v>
      </c>
      <c r="E17" s="8">
        <f>+Yr3!H26</f>
        <v>6213.487999999999</v>
      </c>
      <c r="F17" s="8">
        <f t="shared" si="0"/>
        <v>-6213.487999999999</v>
      </c>
      <c r="G17" s="8">
        <f>+Yr3!H36</f>
        <v>11225.25545696</v>
      </c>
      <c r="H17" s="8">
        <f t="shared" si="1"/>
        <v>-11225.25545696</v>
      </c>
    </row>
    <row r="18" spans="2:8" ht="12.75">
      <c r="B18" s="7">
        <v>4</v>
      </c>
      <c r="C18" s="7">
        <v>8700</v>
      </c>
      <c r="D18" s="14">
        <f>MEDP</f>
        <v>0.6</v>
      </c>
      <c r="E18" s="8">
        <f>+Bud!I49</f>
        <v>9996.5614</v>
      </c>
      <c r="F18" s="8">
        <f t="shared" si="0"/>
        <v>-4776.5614000000005</v>
      </c>
      <c r="G18" s="8">
        <f aca="true" t="shared" si="2" ref="G18:G29">+UNITCOST</f>
        <v>19351.24885979954</v>
      </c>
      <c r="H18" s="8">
        <f t="shared" si="1"/>
        <v>-14131.24885979954</v>
      </c>
    </row>
    <row r="19" spans="2:8" ht="12.75">
      <c r="B19" s="7">
        <v>5</v>
      </c>
      <c r="C19" s="7">
        <v>21750</v>
      </c>
      <c r="D19" s="14">
        <f>Bud!H21</f>
        <v>0.54</v>
      </c>
      <c r="E19" s="8">
        <f>+Bud!I49</f>
        <v>9996.5614</v>
      </c>
      <c r="F19" s="8">
        <f t="shared" si="0"/>
        <v>1748.4385999999995</v>
      </c>
      <c r="G19" s="8">
        <f t="shared" si="2"/>
        <v>19351.24885979954</v>
      </c>
      <c r="H19" s="8">
        <f t="shared" si="1"/>
        <v>-7606.24885979954</v>
      </c>
    </row>
    <row r="20" spans="2:8" ht="12.75">
      <c r="B20" s="7">
        <v>6</v>
      </c>
      <c r="C20" s="7">
        <f>MEDY</f>
        <v>33000</v>
      </c>
      <c r="D20" s="14">
        <f>Bud!F21</f>
        <v>0.66</v>
      </c>
      <c r="E20" s="8">
        <f>+Bud!I49</f>
        <v>9996.5614</v>
      </c>
      <c r="F20" s="8">
        <f t="shared" si="0"/>
        <v>11783.4386</v>
      </c>
      <c r="G20" s="8">
        <f t="shared" si="2"/>
        <v>19351.24885979954</v>
      </c>
      <c r="H20" s="8">
        <f t="shared" si="1"/>
        <v>2428.75114020046</v>
      </c>
    </row>
    <row r="21" spans="2:8" ht="12.75">
      <c r="B21" s="7">
        <v>7</v>
      </c>
      <c r="C21" s="7">
        <f aca="true" t="shared" si="3" ref="C21:C29">MEDY</f>
        <v>33000</v>
      </c>
      <c r="D21" s="14">
        <f>Bud!I21</f>
        <v>0.48</v>
      </c>
      <c r="E21" s="8">
        <f>+Bud!I49</f>
        <v>9996.5614</v>
      </c>
      <c r="F21" s="8">
        <f t="shared" si="0"/>
        <v>5843.4385999999995</v>
      </c>
      <c r="G21" s="8">
        <f t="shared" si="2"/>
        <v>19351.24885979954</v>
      </c>
      <c r="H21" s="8">
        <f t="shared" si="1"/>
        <v>-3511.24885979954</v>
      </c>
    </row>
    <row r="22" spans="2:8" ht="12.75">
      <c r="B22" s="7">
        <v>8</v>
      </c>
      <c r="C22" s="7">
        <f t="shared" si="3"/>
        <v>33000</v>
      </c>
      <c r="D22" s="14">
        <f>Bud!E21</f>
        <v>0.72</v>
      </c>
      <c r="E22" s="8">
        <f>Bud!I$49</f>
        <v>9996.5614</v>
      </c>
      <c r="F22" s="8">
        <f t="shared" si="0"/>
        <v>13763.4386</v>
      </c>
      <c r="G22" s="8">
        <f t="shared" si="2"/>
        <v>19351.24885979954</v>
      </c>
      <c r="H22" s="8">
        <f t="shared" si="1"/>
        <v>4408.75114020046</v>
      </c>
    </row>
    <row r="23" spans="2:8" ht="12.75">
      <c r="B23" s="7">
        <v>9</v>
      </c>
      <c r="C23" s="7">
        <f t="shared" si="3"/>
        <v>33000</v>
      </c>
      <c r="D23" s="14">
        <f>Bud!I21</f>
        <v>0.48</v>
      </c>
      <c r="E23" s="8">
        <f>Bud!I$49</f>
        <v>9996.5614</v>
      </c>
      <c r="F23" s="8">
        <f t="shared" si="0"/>
        <v>5843.4385999999995</v>
      </c>
      <c r="G23" s="8">
        <f t="shared" si="2"/>
        <v>19351.24885979954</v>
      </c>
      <c r="H23" s="8">
        <f t="shared" si="1"/>
        <v>-3511.24885979954</v>
      </c>
    </row>
    <row r="24" spans="2:9" ht="12.75">
      <c r="B24" s="7">
        <v>10</v>
      </c>
      <c r="C24" s="7">
        <f t="shared" si="3"/>
        <v>33000</v>
      </c>
      <c r="D24" s="14">
        <v>0.45</v>
      </c>
      <c r="E24" s="8">
        <f>Bud!I$49</f>
        <v>9996.5614</v>
      </c>
      <c r="F24" s="8">
        <f t="shared" si="0"/>
        <v>4853.4385999999995</v>
      </c>
      <c r="G24" s="8">
        <f t="shared" si="2"/>
        <v>19351.24885979954</v>
      </c>
      <c r="H24" s="8">
        <f t="shared" si="1"/>
        <v>-4501.24885979954</v>
      </c>
      <c r="I24" s="15" t="s">
        <v>76</v>
      </c>
    </row>
    <row r="25" spans="2:8" ht="12.75">
      <c r="B25" s="7">
        <v>11</v>
      </c>
      <c r="C25" s="7">
        <f t="shared" si="3"/>
        <v>33000</v>
      </c>
      <c r="D25" s="14">
        <v>0.45</v>
      </c>
      <c r="E25" s="8">
        <f>Bud!I$49</f>
        <v>9996.5614</v>
      </c>
      <c r="F25" s="8">
        <f t="shared" si="0"/>
        <v>4853.4385999999995</v>
      </c>
      <c r="G25" s="8">
        <f t="shared" si="2"/>
        <v>19351.24885979954</v>
      </c>
      <c r="H25" s="8">
        <f t="shared" si="1"/>
        <v>-4501.24885979954</v>
      </c>
    </row>
    <row r="26" spans="2:8" ht="12.75">
      <c r="B26" s="7">
        <v>12</v>
      </c>
      <c r="C26" s="7">
        <f t="shared" si="3"/>
        <v>33000</v>
      </c>
      <c r="D26" s="14">
        <v>0.45</v>
      </c>
      <c r="E26" s="8">
        <f>Bud!I$49</f>
        <v>9996.5614</v>
      </c>
      <c r="F26" s="8">
        <f t="shared" si="0"/>
        <v>4853.4385999999995</v>
      </c>
      <c r="G26" s="8">
        <f t="shared" si="2"/>
        <v>19351.24885979954</v>
      </c>
      <c r="H26" s="8">
        <f t="shared" si="1"/>
        <v>-4501.24885979954</v>
      </c>
    </row>
    <row r="27" spans="2:8" ht="12.75">
      <c r="B27" s="7">
        <v>13</v>
      </c>
      <c r="C27" s="7">
        <f t="shared" si="3"/>
        <v>33000</v>
      </c>
      <c r="D27" s="14">
        <v>0.45</v>
      </c>
      <c r="E27" s="8">
        <f>Bud!I$49</f>
        <v>9996.5614</v>
      </c>
      <c r="F27" s="8">
        <f t="shared" si="0"/>
        <v>4853.4385999999995</v>
      </c>
      <c r="G27" s="8">
        <f t="shared" si="2"/>
        <v>19351.24885979954</v>
      </c>
      <c r="H27" s="8">
        <f t="shared" si="1"/>
        <v>-4501.24885979954</v>
      </c>
    </row>
    <row r="28" spans="2:8" ht="12.75">
      <c r="B28" s="7">
        <v>14</v>
      </c>
      <c r="C28" s="7">
        <f t="shared" si="3"/>
        <v>33000</v>
      </c>
      <c r="D28" s="14">
        <v>0.45</v>
      </c>
      <c r="E28" s="8">
        <f>Bud!I$49</f>
        <v>9996.5614</v>
      </c>
      <c r="F28" s="8">
        <f t="shared" si="0"/>
        <v>4853.4385999999995</v>
      </c>
      <c r="G28" s="8">
        <f t="shared" si="2"/>
        <v>19351.24885979954</v>
      </c>
      <c r="H28" s="8">
        <f t="shared" si="1"/>
        <v>-4501.24885979954</v>
      </c>
    </row>
    <row r="29" spans="2:8" ht="12.75">
      <c r="B29" s="7">
        <v>15</v>
      </c>
      <c r="C29" s="7">
        <f t="shared" si="3"/>
        <v>33000</v>
      </c>
      <c r="D29" s="14">
        <v>0.45</v>
      </c>
      <c r="E29" s="8">
        <f>Bud!I$49</f>
        <v>9996.5614</v>
      </c>
      <c r="F29" s="8">
        <f t="shared" si="0"/>
        <v>4853.4385999999995</v>
      </c>
      <c r="G29" s="8">
        <f t="shared" si="2"/>
        <v>19351.24885979954</v>
      </c>
      <c r="H29" s="8">
        <f t="shared" si="1"/>
        <v>-4501.24885979954</v>
      </c>
    </row>
    <row r="30" spans="2:8" ht="12.75">
      <c r="B30" s="7"/>
      <c r="C30" s="7"/>
      <c r="D30" s="7"/>
      <c r="E30" s="7"/>
      <c r="F30" s="7"/>
      <c r="G30" s="7"/>
      <c r="H30" s="7"/>
    </row>
    <row r="31" spans="2:8" ht="12.75">
      <c r="B31" s="7"/>
      <c r="C31" s="15" t="s">
        <v>76</v>
      </c>
      <c r="D31" s="7" t="s">
        <v>214</v>
      </c>
      <c r="E31" s="7"/>
      <c r="F31" s="7"/>
      <c r="G31" s="7"/>
      <c r="H31" s="7"/>
    </row>
    <row r="32" spans="2:8" ht="12.75">
      <c r="B32" s="7"/>
      <c r="C32" s="7"/>
      <c r="D32" s="7" t="s">
        <v>143</v>
      </c>
      <c r="E32" s="7"/>
      <c r="F32" s="7"/>
      <c r="G32" s="7"/>
      <c r="H32" s="7"/>
    </row>
    <row r="34" ht="12.75">
      <c r="C34" s="1" t="s">
        <v>81</v>
      </c>
    </row>
    <row r="35" ht="12.75">
      <c r="B35" s="1" t="s">
        <v>81</v>
      </c>
    </row>
    <row r="36" ht="12.75"/>
    <row r="37" ht="12.75"/>
    <row r="38" ht="12.75"/>
    <row r="39" ht="12.75"/>
    <row r="40" ht="12.75"/>
  </sheetData>
  <sheetProtection/>
  <mergeCells count="3">
    <mergeCell ref="D8:F8"/>
    <mergeCell ref="A1:L1"/>
    <mergeCell ref="A2:L2"/>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5"/>
  <sheetViews>
    <sheetView zoomScalePageLayoutView="0" workbookViewId="0" topLeftCell="A1">
      <selection activeCell="F22" sqref="F22"/>
    </sheetView>
  </sheetViews>
  <sheetFormatPr defaultColWidth="9.140625" defaultRowHeight="12.75"/>
  <cols>
    <col min="1" max="1" width="13.7109375" style="1" customWidth="1"/>
    <col min="2" max="2" width="13.28125" style="1" customWidth="1"/>
    <col min="3" max="3" width="24.57421875" style="1" customWidth="1"/>
    <col min="4" max="4" width="12.28125" style="1" customWidth="1"/>
    <col min="5" max="5" width="9.140625" style="1" customWidth="1"/>
    <col min="6" max="6" width="29.421875" style="1" customWidth="1"/>
    <col min="7" max="7" width="14.8515625" style="1" customWidth="1"/>
    <col min="8" max="16384" width="9.140625" style="1" customWidth="1"/>
  </cols>
  <sheetData>
    <row r="1" spans="1:8" ht="12.75">
      <c r="A1" s="35" t="s">
        <v>194</v>
      </c>
      <c r="B1" s="1" t="s">
        <v>82</v>
      </c>
      <c r="C1" s="15"/>
      <c r="D1" s="35" t="s">
        <v>194</v>
      </c>
      <c r="E1" s="1" t="s">
        <v>82</v>
      </c>
      <c r="F1" s="15"/>
      <c r="G1" s="35" t="s">
        <v>194</v>
      </c>
      <c r="H1" s="1" t="s">
        <v>82</v>
      </c>
    </row>
    <row r="2" spans="1:8" ht="12.75">
      <c r="A2" s="7" t="s">
        <v>90</v>
      </c>
      <c r="B2" s="1" t="s">
        <v>86</v>
      </c>
      <c r="C2" s="15"/>
      <c r="D2" s="7" t="s">
        <v>90</v>
      </c>
      <c r="E2" s="1" t="s">
        <v>83</v>
      </c>
      <c r="F2" s="15"/>
      <c r="G2" s="7" t="s">
        <v>90</v>
      </c>
      <c r="H2" s="1" t="s">
        <v>89</v>
      </c>
    </row>
    <row r="3" spans="1:8" ht="12.75">
      <c r="A3" s="7" t="s">
        <v>90</v>
      </c>
      <c r="B3" s="1" t="s">
        <v>84</v>
      </c>
      <c r="D3" s="7" t="s">
        <v>90</v>
      </c>
      <c r="E3" s="1" t="s">
        <v>85</v>
      </c>
      <c r="G3" s="7" t="s">
        <v>90</v>
      </c>
      <c r="H3" s="1" t="s">
        <v>84</v>
      </c>
    </row>
    <row r="4" spans="1:8" ht="12.75">
      <c r="A4" s="7" t="s">
        <v>90</v>
      </c>
      <c r="B4" s="1" t="s">
        <v>87</v>
      </c>
      <c r="D4" s="7" t="s">
        <v>90</v>
      </c>
      <c r="E4" s="1" t="s">
        <v>88</v>
      </c>
      <c r="G4" s="7" t="s">
        <v>90</v>
      </c>
      <c r="H4" s="1" t="s">
        <v>87</v>
      </c>
    </row>
    <row r="5" ht="12.75">
      <c r="A5" s="7"/>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24"/>
  <sheetViews>
    <sheetView tabSelected="1" zoomScalePageLayoutView="0" workbookViewId="0" topLeftCell="A1">
      <selection activeCell="G17" sqref="G17"/>
    </sheetView>
  </sheetViews>
  <sheetFormatPr defaultColWidth="9.140625" defaultRowHeight="12.75"/>
  <cols>
    <col min="1" max="1" width="90.8515625" style="184" customWidth="1"/>
    <col min="2" max="16384" width="9.140625" style="184" customWidth="1"/>
  </cols>
  <sheetData>
    <row r="1" ht="18.75">
      <c r="A1" s="183" t="s">
        <v>2</v>
      </c>
    </row>
    <row r="2" ht="18.75">
      <c r="A2" s="185" t="s">
        <v>358</v>
      </c>
    </row>
    <row r="3" ht="18.75">
      <c r="A3" s="186" t="s">
        <v>359</v>
      </c>
    </row>
    <row r="4" ht="18.75">
      <c r="A4" s="186" t="s">
        <v>360</v>
      </c>
    </row>
    <row r="5" ht="18.75">
      <c r="A5" s="186" t="s">
        <v>361</v>
      </c>
    </row>
    <row r="6" ht="18.75">
      <c r="A6" s="186"/>
    </row>
    <row r="7" ht="18.75">
      <c r="A7" s="186" t="s">
        <v>362</v>
      </c>
    </row>
    <row r="8" ht="18.75">
      <c r="A8" s="186" t="s">
        <v>363</v>
      </c>
    </row>
    <row r="9" ht="18.75">
      <c r="A9" s="183"/>
    </row>
    <row r="10" ht="18.75">
      <c r="A10" s="187" t="s">
        <v>325</v>
      </c>
    </row>
    <row r="11" ht="12.75">
      <c r="A11" s="197" t="s">
        <v>364</v>
      </c>
    </row>
    <row r="12" ht="12.75">
      <c r="A12" s="197"/>
    </row>
    <row r="13" ht="12.75">
      <c r="A13" s="197"/>
    </row>
    <row r="14" ht="12.75">
      <c r="A14" s="197"/>
    </row>
    <row r="15" ht="47.25" customHeight="1">
      <c r="A15" s="197"/>
    </row>
    <row r="16" ht="18.75">
      <c r="A16" s="183"/>
    </row>
    <row r="17" ht="18.75">
      <c r="A17" s="187" t="s">
        <v>365</v>
      </c>
    </row>
    <row r="18" ht="132" customHeight="1">
      <c r="A18" s="188" t="s">
        <v>366</v>
      </c>
    </row>
    <row r="19" ht="18.75">
      <c r="A19" s="183"/>
    </row>
    <row r="20" ht="92.25" customHeight="1">
      <c r="A20" s="189" t="s">
        <v>367</v>
      </c>
    </row>
    <row r="21" ht="18.75">
      <c r="A21" s="190" t="s">
        <v>368</v>
      </c>
    </row>
    <row r="22" ht="56.25">
      <c r="A22" s="191" t="s">
        <v>369</v>
      </c>
    </row>
    <row r="23" ht="12.75">
      <c r="A23" s="192"/>
    </row>
    <row r="24" ht="37.5">
      <c r="A24" s="191" t="s">
        <v>370</v>
      </c>
    </row>
  </sheetData>
  <sheetProtection/>
  <mergeCells count="1">
    <mergeCell ref="A11:A1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23"/>
  </sheetPr>
  <dimension ref="A1:AT139"/>
  <sheetViews>
    <sheetView zoomScalePageLayoutView="0" workbookViewId="0" topLeftCell="A1">
      <selection activeCell="K17" sqref="K17"/>
    </sheetView>
  </sheetViews>
  <sheetFormatPr defaultColWidth="9.140625" defaultRowHeight="12.75"/>
  <cols>
    <col min="1" max="1" width="2.140625" style="97" customWidth="1"/>
    <col min="2" max="2" width="8.28125" style="97" customWidth="1"/>
    <col min="3" max="3" width="8.421875" style="97" customWidth="1"/>
    <col min="4" max="4" width="20.28125" style="97" customWidth="1"/>
    <col min="5" max="5" width="8.7109375" style="97" customWidth="1"/>
    <col min="6" max="6" width="12.8515625" style="97" customWidth="1"/>
    <col min="7" max="7" width="12.57421875" style="97" customWidth="1"/>
    <col min="8" max="8" width="12.140625" style="97" customWidth="1"/>
    <col min="9" max="10" width="13.140625" style="97" customWidth="1"/>
    <col min="11" max="14" width="7.28125" style="97" customWidth="1"/>
    <col min="15" max="15" width="11.7109375" style="97" customWidth="1"/>
    <col min="16" max="34" width="9.140625" style="97" customWidth="1"/>
    <col min="35" max="35" width="3.28125" style="97" customWidth="1"/>
    <col min="36" max="36" width="1.57421875" style="97" customWidth="1"/>
    <col min="37" max="37" width="2.421875" style="97" customWidth="1"/>
    <col min="38" max="38" width="54.7109375" style="97" customWidth="1"/>
    <col min="39" max="39" width="2.421875" style="97" customWidth="1"/>
    <col min="40" max="40" width="1.57421875" style="97" customWidth="1"/>
    <col min="41" max="16384" width="9.140625" style="97" customWidth="1"/>
  </cols>
  <sheetData>
    <row r="1" spans="1:15" ht="15.75">
      <c r="A1" s="135"/>
      <c r="B1" s="216"/>
      <c r="C1" s="216"/>
      <c r="D1" s="217"/>
      <c r="E1" s="218" t="s">
        <v>340</v>
      </c>
      <c r="F1" s="217"/>
      <c r="G1" s="217"/>
      <c r="H1" s="217"/>
      <c r="I1" s="217"/>
      <c r="J1" s="217"/>
      <c r="K1" s="216"/>
      <c r="L1" s="216"/>
      <c r="M1" s="216"/>
      <c r="N1" s="216"/>
      <c r="O1" s="216"/>
    </row>
    <row r="2" spans="1:15" ht="12.75">
      <c r="A2" s="97" t="s">
        <v>3</v>
      </c>
      <c r="B2" s="219" t="s">
        <v>359</v>
      </c>
      <c r="C2" s="219"/>
      <c r="D2" s="219"/>
      <c r="E2" s="219"/>
      <c r="F2" s="219"/>
      <c r="G2" s="219"/>
      <c r="H2" s="219"/>
      <c r="I2" s="219"/>
      <c r="J2" s="219"/>
      <c r="K2" s="219"/>
      <c r="L2" s="219"/>
      <c r="M2" s="219"/>
      <c r="N2" s="219"/>
      <c r="O2" s="219"/>
    </row>
    <row r="3" spans="2:15" ht="12.75">
      <c r="B3" s="219" t="s">
        <v>360</v>
      </c>
      <c r="C3" s="219"/>
      <c r="D3" s="219"/>
      <c r="E3" s="219"/>
      <c r="F3" s="219"/>
      <c r="G3" s="219"/>
      <c r="H3" s="219"/>
      <c r="I3" s="219"/>
      <c r="J3" s="219"/>
      <c r="K3" s="219"/>
      <c r="L3" s="219"/>
      <c r="M3" s="219"/>
      <c r="N3" s="219"/>
      <c r="O3" s="219"/>
    </row>
    <row r="4" spans="4:11" ht="12.75">
      <c r="D4" s="134"/>
      <c r="E4" s="134"/>
      <c r="F4" s="134"/>
      <c r="G4" s="134"/>
      <c r="H4" s="134"/>
      <c r="I4" s="134"/>
      <c r="J4" s="134"/>
      <c r="K4" s="97" t="s">
        <v>0</v>
      </c>
    </row>
    <row r="5" spans="2:15" ht="20.25">
      <c r="B5" s="198">
        <v>2024</v>
      </c>
      <c r="C5" s="198"/>
      <c r="D5" s="198"/>
      <c r="E5" s="198"/>
      <c r="F5" s="198"/>
      <c r="G5" s="198"/>
      <c r="H5" s="198"/>
      <c r="I5" s="198"/>
      <c r="J5" s="198"/>
      <c r="K5" s="198"/>
      <c r="L5" s="198"/>
      <c r="M5" s="198"/>
      <c r="N5" s="198"/>
      <c r="O5" s="198"/>
    </row>
    <row r="6" ht="12.75">
      <c r="K6" s="97" t="s">
        <v>0</v>
      </c>
    </row>
    <row r="7" spans="2:18" ht="20.25">
      <c r="B7" s="193" t="s">
        <v>315</v>
      </c>
      <c r="C7" s="181"/>
      <c r="E7" s="193"/>
      <c r="F7" s="193"/>
      <c r="G7" s="193"/>
      <c r="H7" s="193"/>
      <c r="I7" s="193"/>
      <c r="J7" s="193" t="s">
        <v>0</v>
      </c>
      <c r="K7" s="193" t="s">
        <v>0</v>
      </c>
      <c r="L7" s="193"/>
      <c r="M7" s="193"/>
      <c r="N7" s="193"/>
      <c r="O7" s="193"/>
      <c r="P7" s="193"/>
      <c r="Q7" s="193"/>
      <c r="R7" s="193"/>
    </row>
    <row r="8" spans="2:16" ht="20.25">
      <c r="B8" s="202" t="s">
        <v>338</v>
      </c>
      <c r="C8" s="202"/>
      <c r="D8" s="202"/>
      <c r="E8" s="202"/>
      <c r="F8" s="202"/>
      <c r="G8" s="202"/>
      <c r="H8" s="202"/>
      <c r="I8" s="202"/>
      <c r="J8" s="202"/>
      <c r="K8" s="202"/>
      <c r="L8" s="202"/>
      <c r="M8" s="202"/>
      <c r="N8" s="202"/>
      <c r="O8" s="202"/>
      <c r="P8" s="202"/>
    </row>
    <row r="9" spans="5:10" ht="20.25">
      <c r="E9" s="98"/>
      <c r="J9" s="99"/>
    </row>
    <row r="10" spans="6:11" ht="12.75">
      <c r="F10" s="100"/>
      <c r="K10" s="97" t="s">
        <v>0</v>
      </c>
    </row>
    <row r="11" ht="12.75">
      <c r="F11" s="100"/>
    </row>
    <row r="12" spans="1:20" ht="12.75" customHeight="1">
      <c r="A12" s="201" t="s">
        <v>371</v>
      </c>
      <c r="B12" s="201"/>
      <c r="C12" s="201"/>
      <c r="D12" s="201"/>
      <c r="E12" s="201"/>
      <c r="F12" s="201"/>
      <c r="G12" s="201"/>
      <c r="H12" s="201"/>
      <c r="I12" s="201"/>
      <c r="J12" s="201"/>
      <c r="K12" s="201"/>
      <c r="L12" s="164"/>
      <c r="M12" s="164"/>
      <c r="N12" s="164"/>
      <c r="P12" s="101"/>
      <c r="Q12" s="101"/>
      <c r="R12" s="102"/>
      <c r="S12" s="101"/>
      <c r="T12" s="101"/>
    </row>
    <row r="13" spans="5:21" ht="15.75">
      <c r="E13" s="103"/>
      <c r="P13" s="104"/>
      <c r="Q13" s="104"/>
      <c r="R13" s="104"/>
      <c r="S13" s="105"/>
      <c r="T13" s="104"/>
      <c r="U13" s="104"/>
    </row>
    <row r="14" spans="5:11" ht="12.75">
      <c r="E14" s="97" t="s">
        <v>240</v>
      </c>
      <c r="K14" s="97" t="s">
        <v>0</v>
      </c>
    </row>
    <row r="15" spans="5:11" ht="12.75">
      <c r="E15" s="97" t="s">
        <v>6</v>
      </c>
      <c r="I15" s="101">
        <v>1</v>
      </c>
      <c r="K15" s="97" t="s">
        <v>2</v>
      </c>
    </row>
    <row r="16" spans="4:27" ht="12.75">
      <c r="D16" s="97" t="s">
        <v>154</v>
      </c>
      <c r="I16" s="101">
        <v>1</v>
      </c>
      <c r="K16" s="97" t="s">
        <v>0</v>
      </c>
      <c r="U16" s="104"/>
      <c r="V16" s="104"/>
      <c r="W16" s="105"/>
      <c r="X16" s="104"/>
      <c r="Y16" s="104"/>
      <c r="Z16" s="108"/>
      <c r="AA16" s="108"/>
    </row>
    <row r="17" ht="12.75">
      <c r="K17" s="97" t="s">
        <v>0</v>
      </c>
    </row>
    <row r="18" spans="2:11" ht="12.75">
      <c r="B18" s="100"/>
      <c r="C18" s="100"/>
      <c r="D18" s="100"/>
      <c r="E18" s="106" t="s">
        <v>102</v>
      </c>
      <c r="F18" s="106" t="s">
        <v>176</v>
      </c>
      <c r="G18" s="106" t="s">
        <v>169</v>
      </c>
      <c r="H18" s="105" t="s">
        <v>183</v>
      </c>
      <c r="I18" s="105" t="s">
        <v>244</v>
      </c>
      <c r="J18" s="99" t="s">
        <v>0</v>
      </c>
      <c r="K18" s="97" t="s">
        <v>0</v>
      </c>
    </row>
    <row r="19" spans="5:11" ht="12.75">
      <c r="E19" s="107"/>
      <c r="F19" s="107"/>
      <c r="G19" s="107"/>
      <c r="H19" s="107"/>
      <c r="I19" s="107"/>
      <c r="K19" s="97" t="s">
        <v>0</v>
      </c>
    </row>
    <row r="20" spans="2:15" ht="15" customHeight="1">
      <c r="B20" s="97" t="s">
        <v>79</v>
      </c>
      <c r="E20" s="101">
        <v>39600</v>
      </c>
      <c r="F20" s="101">
        <v>36300</v>
      </c>
      <c r="G20" s="159">
        <v>33000</v>
      </c>
      <c r="H20" s="101">
        <v>29700</v>
      </c>
      <c r="I20" s="101">
        <v>26400</v>
      </c>
      <c r="J20" s="108"/>
      <c r="K20" s="108"/>
      <c r="L20" s="108"/>
      <c r="M20" s="108"/>
      <c r="N20" s="108"/>
      <c r="O20" s="108"/>
    </row>
    <row r="21" spans="2:25" ht="15" customHeight="1">
      <c r="B21" s="97" t="s">
        <v>77</v>
      </c>
      <c r="E21" s="104">
        <v>0.72</v>
      </c>
      <c r="F21" s="104">
        <v>0.66</v>
      </c>
      <c r="G21" s="124">
        <v>0.6</v>
      </c>
      <c r="H21" s="104">
        <v>0.54</v>
      </c>
      <c r="I21" s="104">
        <v>0.48</v>
      </c>
      <c r="J21" s="108"/>
      <c r="K21" s="108"/>
      <c r="L21" s="108"/>
      <c r="M21" s="108"/>
      <c r="N21" s="108"/>
      <c r="S21" s="104"/>
      <c r="T21" s="104"/>
      <c r="U21" s="124"/>
      <c r="V21" s="104"/>
      <c r="W21" s="104"/>
      <c r="X21" s="108"/>
      <c r="Y21" s="108"/>
    </row>
    <row r="22" spans="11:22" ht="15" customHeight="1">
      <c r="K22" s="97" t="s">
        <v>0</v>
      </c>
      <c r="V22" s="97" t="s">
        <v>0</v>
      </c>
    </row>
    <row r="23" spans="2:11" ht="15" customHeight="1">
      <c r="B23" s="100" t="s">
        <v>155</v>
      </c>
      <c r="C23" s="100"/>
      <c r="D23" s="100"/>
      <c r="E23" s="100"/>
      <c r="F23" s="106" t="s">
        <v>235</v>
      </c>
      <c r="G23" s="106" t="s">
        <v>195</v>
      </c>
      <c r="H23" s="105" t="s">
        <v>191</v>
      </c>
      <c r="I23" s="102" t="s">
        <v>66</v>
      </c>
      <c r="J23" s="109" t="s">
        <v>217</v>
      </c>
      <c r="K23" s="97" t="s">
        <v>0</v>
      </c>
    </row>
    <row r="24" ht="15" customHeight="1">
      <c r="K24" s="97" t="s">
        <v>0</v>
      </c>
    </row>
    <row r="25" spans="2:9" ht="15" customHeight="1">
      <c r="B25" s="97" t="s">
        <v>241</v>
      </c>
      <c r="I25" s="110" t="s">
        <v>0</v>
      </c>
    </row>
    <row r="26" spans="3:15" ht="15" customHeight="1">
      <c r="C26" s="111" t="s">
        <v>122</v>
      </c>
      <c r="D26" s="111"/>
      <c r="E26" s="111"/>
      <c r="F26" s="112" t="s">
        <v>91</v>
      </c>
      <c r="G26" s="175">
        <v>1000</v>
      </c>
      <c r="H26" s="175">
        <v>0.4</v>
      </c>
      <c r="I26" s="175">
        <f aca="true" t="shared" si="0" ref="I26:I40">G26*H26</f>
        <v>400</v>
      </c>
      <c r="J26" s="176">
        <f>I26*I15</f>
        <v>400</v>
      </c>
      <c r="K26" s="111"/>
      <c r="L26" s="111"/>
      <c r="M26" s="111"/>
      <c r="N26" s="111"/>
      <c r="O26" s="107"/>
    </row>
    <row r="27" spans="3:16" ht="15" customHeight="1">
      <c r="C27" s="111" t="s">
        <v>285</v>
      </c>
      <c r="D27" s="111"/>
      <c r="E27" s="111"/>
      <c r="F27" s="112" t="s">
        <v>91</v>
      </c>
      <c r="G27" s="175">
        <v>2</v>
      </c>
      <c r="H27" s="175">
        <v>17.25</v>
      </c>
      <c r="I27" s="175">
        <f t="shared" si="0"/>
        <v>34.5</v>
      </c>
      <c r="J27" s="176">
        <f>I27*I15</f>
        <v>34.5</v>
      </c>
      <c r="K27" s="112"/>
      <c r="L27" s="112"/>
      <c r="M27" s="112"/>
      <c r="N27" s="112"/>
      <c r="P27" s="108"/>
    </row>
    <row r="28" spans="3:16" ht="15" customHeight="1">
      <c r="C28" s="111" t="s">
        <v>286</v>
      </c>
      <c r="D28" s="111"/>
      <c r="E28" s="111"/>
      <c r="F28" s="112" t="s">
        <v>91</v>
      </c>
      <c r="G28" s="175">
        <v>2</v>
      </c>
      <c r="H28" s="175">
        <v>35.16</v>
      </c>
      <c r="I28" s="175">
        <f t="shared" si="0"/>
        <v>70.32</v>
      </c>
      <c r="J28" s="176">
        <f aca="true" t="shared" si="1" ref="J28:J33">I28*I$16</f>
        <v>70.32</v>
      </c>
      <c r="K28" s="112"/>
      <c r="L28" s="112"/>
      <c r="M28" s="112"/>
      <c r="N28" s="112"/>
      <c r="P28" s="108"/>
    </row>
    <row r="29" spans="3:16" ht="15" customHeight="1">
      <c r="C29" s="111" t="s">
        <v>287</v>
      </c>
      <c r="D29" s="111"/>
      <c r="E29" s="111"/>
      <c r="F29" s="112" t="s">
        <v>91</v>
      </c>
      <c r="G29" s="175">
        <v>5</v>
      </c>
      <c r="H29" s="175">
        <v>35.16</v>
      </c>
      <c r="I29" s="175">
        <f t="shared" si="0"/>
        <v>175.79999999999998</v>
      </c>
      <c r="J29" s="176">
        <f t="shared" si="1"/>
        <v>175.79999999999998</v>
      </c>
      <c r="K29" s="112"/>
      <c r="L29" s="112"/>
      <c r="M29" s="112"/>
      <c r="N29" s="112"/>
      <c r="P29" s="108"/>
    </row>
    <row r="30" spans="3:16" ht="15" customHeight="1">
      <c r="C30" s="111" t="s">
        <v>145</v>
      </c>
      <c r="D30" s="111"/>
      <c r="E30" s="111"/>
      <c r="F30" s="112" t="s">
        <v>91</v>
      </c>
      <c r="G30" s="175">
        <v>5</v>
      </c>
      <c r="H30" s="175">
        <v>13.58</v>
      </c>
      <c r="I30" s="175">
        <f t="shared" si="0"/>
        <v>67.9</v>
      </c>
      <c r="J30" s="176">
        <f t="shared" si="1"/>
        <v>67.9</v>
      </c>
      <c r="K30" s="112"/>
      <c r="L30" s="112"/>
      <c r="M30" s="112"/>
      <c r="N30" s="112"/>
      <c r="P30" s="108"/>
    </row>
    <row r="31" spans="3:16" ht="15" customHeight="1">
      <c r="C31" s="111" t="s">
        <v>132</v>
      </c>
      <c r="D31" s="111"/>
      <c r="E31" s="111"/>
      <c r="F31" s="112" t="s">
        <v>91</v>
      </c>
      <c r="G31" s="175">
        <v>6</v>
      </c>
      <c r="H31" s="175">
        <v>16.52</v>
      </c>
      <c r="I31" s="175">
        <f t="shared" si="0"/>
        <v>99.12</v>
      </c>
      <c r="J31" s="176">
        <f t="shared" si="1"/>
        <v>99.12</v>
      </c>
      <c r="K31" s="112"/>
      <c r="L31" s="112"/>
      <c r="M31" s="112"/>
      <c r="N31" s="112"/>
      <c r="P31" s="108"/>
    </row>
    <row r="32" spans="3:16" ht="15" customHeight="1">
      <c r="C32" s="111" t="s">
        <v>320</v>
      </c>
      <c r="D32" s="111"/>
      <c r="E32" s="111"/>
      <c r="F32" s="112" t="s">
        <v>232</v>
      </c>
      <c r="G32" s="175">
        <v>5</v>
      </c>
      <c r="H32" s="175">
        <v>17.33</v>
      </c>
      <c r="I32" s="175">
        <f t="shared" si="0"/>
        <v>86.64999999999999</v>
      </c>
      <c r="J32" s="176">
        <f t="shared" si="1"/>
        <v>86.64999999999999</v>
      </c>
      <c r="K32" s="112"/>
      <c r="L32" s="112"/>
      <c r="M32" s="112"/>
      <c r="N32" s="112"/>
      <c r="P32" s="108"/>
    </row>
    <row r="33" spans="3:16" ht="15" customHeight="1">
      <c r="C33" s="111" t="s">
        <v>288</v>
      </c>
      <c r="D33" s="111"/>
      <c r="E33" s="111"/>
      <c r="F33" s="112" t="s">
        <v>91</v>
      </c>
      <c r="G33" s="175">
        <v>1</v>
      </c>
      <c r="H33" s="175">
        <v>36.75</v>
      </c>
      <c r="I33" s="175">
        <f t="shared" si="0"/>
        <v>36.75</v>
      </c>
      <c r="J33" s="176">
        <f t="shared" si="1"/>
        <v>36.75</v>
      </c>
      <c r="K33" s="112"/>
      <c r="L33" s="112"/>
      <c r="M33" s="112"/>
      <c r="N33" s="112"/>
      <c r="P33" s="108"/>
    </row>
    <row r="34" spans="3:16" ht="15" customHeight="1">
      <c r="C34" s="111" t="s">
        <v>289</v>
      </c>
      <c r="D34" s="111"/>
      <c r="E34" s="111"/>
      <c r="F34" s="112" t="s">
        <v>91</v>
      </c>
      <c r="G34" s="175">
        <v>1</v>
      </c>
      <c r="H34" s="175">
        <v>7.14</v>
      </c>
      <c r="I34" s="175">
        <f t="shared" si="0"/>
        <v>7.14</v>
      </c>
      <c r="J34" s="176">
        <f>I34*I15</f>
        <v>7.14</v>
      </c>
      <c r="K34" s="112"/>
      <c r="L34" s="112"/>
      <c r="M34" s="112"/>
      <c r="N34" s="112"/>
      <c r="P34" s="108"/>
    </row>
    <row r="35" spans="3:16" ht="15" customHeight="1">
      <c r="C35" s="111" t="s">
        <v>281</v>
      </c>
      <c r="D35" s="111"/>
      <c r="E35" s="111"/>
      <c r="F35" s="112" t="s">
        <v>91</v>
      </c>
      <c r="G35" s="175">
        <v>1</v>
      </c>
      <c r="H35" s="175">
        <v>91.01</v>
      </c>
      <c r="I35" s="175">
        <f t="shared" si="0"/>
        <v>91.01</v>
      </c>
      <c r="J35" s="176">
        <f>I35*I$16</f>
        <v>91.01</v>
      </c>
      <c r="K35" s="112"/>
      <c r="L35" s="112"/>
      <c r="M35" s="112"/>
      <c r="N35" s="112"/>
      <c r="P35" s="162"/>
    </row>
    <row r="36" spans="3:16" ht="15" customHeight="1">
      <c r="C36" s="111" t="s">
        <v>157</v>
      </c>
      <c r="D36" s="111"/>
      <c r="E36" s="111"/>
      <c r="F36" s="112" t="s">
        <v>142</v>
      </c>
      <c r="G36" s="175">
        <v>200</v>
      </c>
      <c r="H36" s="175">
        <v>14.68</v>
      </c>
      <c r="I36" s="175">
        <f t="shared" si="0"/>
        <v>2936</v>
      </c>
      <c r="J36" s="176">
        <f>I36*I$16</f>
        <v>2936</v>
      </c>
      <c r="K36" s="112"/>
      <c r="L36" s="112"/>
      <c r="M36" s="112"/>
      <c r="N36" s="112"/>
      <c r="P36" s="162"/>
    </row>
    <row r="37" spans="3:14" ht="15" customHeight="1">
      <c r="C37" s="111" t="s">
        <v>56</v>
      </c>
      <c r="D37" s="111"/>
      <c r="E37" s="111"/>
      <c r="F37" s="112" t="s">
        <v>341</v>
      </c>
      <c r="G37" s="175">
        <v>20</v>
      </c>
      <c r="H37" s="175">
        <v>4</v>
      </c>
      <c r="I37" s="175">
        <f t="shared" si="0"/>
        <v>80</v>
      </c>
      <c r="J37" s="176">
        <f>I37*I$16</f>
        <v>80</v>
      </c>
      <c r="K37" s="112"/>
      <c r="L37" s="112"/>
      <c r="M37" s="112"/>
      <c r="N37" s="112"/>
    </row>
    <row r="38" spans="3:16" ht="15" customHeight="1">
      <c r="C38" s="111" t="s">
        <v>62</v>
      </c>
      <c r="D38" s="111"/>
      <c r="E38" s="111"/>
      <c r="F38" s="112" t="s">
        <v>91</v>
      </c>
      <c r="G38" s="175">
        <v>1</v>
      </c>
      <c r="H38" s="175">
        <v>40.32</v>
      </c>
      <c r="I38" s="175">
        <f t="shared" si="0"/>
        <v>40.32</v>
      </c>
      <c r="J38" s="176">
        <f>I38*I15</f>
        <v>40.32</v>
      </c>
      <c r="K38" s="112"/>
      <c r="L38" s="112"/>
      <c r="M38" s="112"/>
      <c r="N38" s="112"/>
      <c r="P38" s="161"/>
    </row>
    <row r="39" spans="3:16" ht="15" customHeight="1">
      <c r="C39" s="111" t="s">
        <v>292</v>
      </c>
      <c r="D39" s="111"/>
      <c r="E39" s="111"/>
      <c r="F39" s="112" t="s">
        <v>91</v>
      </c>
      <c r="G39" s="175">
        <v>1</v>
      </c>
      <c r="H39" s="175">
        <f>+Drip!I56</f>
        <v>1807.3854999999999</v>
      </c>
      <c r="I39" s="175">
        <f t="shared" si="0"/>
        <v>1807.3854999999999</v>
      </c>
      <c r="J39" s="176">
        <f>I39*I15</f>
        <v>1807.3854999999999</v>
      </c>
      <c r="K39" s="112"/>
      <c r="L39" s="112"/>
      <c r="M39" s="112"/>
      <c r="N39" s="112"/>
      <c r="P39" s="161"/>
    </row>
    <row r="40" spans="3:16" ht="15" customHeight="1">
      <c r="C40" s="111" t="s">
        <v>151</v>
      </c>
      <c r="D40" s="111"/>
      <c r="E40" s="111"/>
      <c r="F40" s="112"/>
      <c r="G40" s="175">
        <f>SUM(I22:I38)</f>
        <v>4125.51</v>
      </c>
      <c r="H40" s="112">
        <v>0.09</v>
      </c>
      <c r="I40" s="175">
        <f t="shared" si="0"/>
        <v>371.2959</v>
      </c>
      <c r="J40" s="176">
        <f>I40*I15</f>
        <v>371.2959</v>
      </c>
      <c r="K40" s="174"/>
      <c r="L40" s="174"/>
      <c r="M40" s="174"/>
      <c r="N40" s="174"/>
      <c r="P40" s="161"/>
    </row>
    <row r="41" spans="3:14" ht="15" customHeight="1" thickBot="1">
      <c r="C41" s="115" t="s">
        <v>299</v>
      </c>
      <c r="D41" s="115"/>
      <c r="E41" s="115"/>
      <c r="F41" s="116"/>
      <c r="G41" s="124"/>
      <c r="H41" s="177">
        <f>SUM(I26:I40)</f>
        <v>6304.191400000001</v>
      </c>
      <c r="I41" s="177">
        <f>SUM(I26:I40)</f>
        <v>6304.191400000001</v>
      </c>
      <c r="J41" s="178">
        <f>SUM(J26:J40)</f>
        <v>6304.191400000001</v>
      </c>
      <c r="K41" s="114"/>
      <c r="L41" s="114"/>
      <c r="M41" s="114"/>
      <c r="N41" s="114"/>
    </row>
    <row r="42" spans="6:14" ht="15" customHeight="1" thickTop="1">
      <c r="F42" s="107"/>
      <c r="G42" s="117"/>
      <c r="H42" s="117"/>
      <c r="I42" s="117"/>
      <c r="J42" s="113"/>
      <c r="K42" s="107" t="s">
        <v>0</v>
      </c>
      <c r="L42" s="107"/>
      <c r="M42" s="107"/>
      <c r="N42" s="107"/>
    </row>
    <row r="43" spans="2:14" ht="15" customHeight="1">
      <c r="B43" s="100"/>
      <c r="C43" s="115" t="s">
        <v>299</v>
      </c>
      <c r="F43" s="107"/>
      <c r="G43" s="118"/>
      <c r="H43" s="118"/>
      <c r="I43" s="119">
        <f>SUM(I25:I40)</f>
        <v>6304.191400000001</v>
      </c>
      <c r="J43" s="120">
        <f>I43*I15</f>
        <v>6304.191400000001</v>
      </c>
      <c r="K43" s="114" t="s">
        <v>0</v>
      </c>
      <c r="L43" s="114"/>
      <c r="M43" s="114"/>
      <c r="N43" s="114"/>
    </row>
    <row r="44" spans="11:14" ht="15" customHeight="1">
      <c r="K44" s="114" t="s">
        <v>0</v>
      </c>
      <c r="L44" s="114"/>
      <c r="M44" s="114"/>
      <c r="N44" s="114"/>
    </row>
    <row r="45" spans="2:14" ht="15" customHeight="1">
      <c r="B45" s="115" t="s">
        <v>137</v>
      </c>
      <c r="C45" s="111"/>
      <c r="D45" s="111"/>
      <c r="E45" s="111"/>
      <c r="F45" s="106" t="s">
        <v>235</v>
      </c>
      <c r="G45" s="116" t="s">
        <v>357</v>
      </c>
      <c r="H45" s="105" t="s">
        <v>191</v>
      </c>
      <c r="I45" s="102" t="s">
        <v>66</v>
      </c>
      <c r="J45" s="109" t="s">
        <v>217</v>
      </c>
      <c r="K45" s="114" t="s">
        <v>0</v>
      </c>
      <c r="L45" s="114"/>
      <c r="M45" s="114"/>
      <c r="N45" s="114"/>
    </row>
    <row r="46" spans="2:14" ht="15" customHeight="1">
      <c r="B46" s="111"/>
      <c r="C46" s="111" t="s">
        <v>335</v>
      </c>
      <c r="D46" s="111"/>
      <c r="E46" s="111"/>
      <c r="F46" s="112" t="s">
        <v>91</v>
      </c>
      <c r="G46" s="175">
        <f>MEDY*0.67</f>
        <v>22110</v>
      </c>
      <c r="H46" s="175">
        <v>0.157</v>
      </c>
      <c r="I46" s="175">
        <f>G46*H46</f>
        <v>3471.27</v>
      </c>
      <c r="J46" s="176">
        <f>I46*I15</f>
        <v>3471.27</v>
      </c>
      <c r="K46" s="114"/>
      <c r="L46" s="114"/>
      <c r="M46" s="114"/>
      <c r="N46" s="114"/>
    </row>
    <row r="47" spans="2:17" ht="15" customHeight="1">
      <c r="B47" s="111"/>
      <c r="C47" s="111" t="s">
        <v>293</v>
      </c>
      <c r="D47" s="111"/>
      <c r="E47" s="111"/>
      <c r="F47" s="112" t="s">
        <v>91</v>
      </c>
      <c r="G47" s="175">
        <f>MEDY*0.67</f>
        <v>22110</v>
      </c>
      <c r="H47" s="175">
        <v>0.01</v>
      </c>
      <c r="I47" s="175">
        <f>G47*H47</f>
        <v>221.1</v>
      </c>
      <c r="J47" s="176">
        <f>I47*I15</f>
        <v>221.1</v>
      </c>
      <c r="K47" s="107"/>
      <c r="L47" s="107"/>
      <c r="M47" s="107"/>
      <c r="N47" s="107"/>
      <c r="Q47" s="157"/>
    </row>
    <row r="48" spans="2:14" ht="15" customHeight="1" thickBot="1">
      <c r="B48" s="115" t="s">
        <v>226</v>
      </c>
      <c r="C48" s="111"/>
      <c r="D48" s="111"/>
      <c r="E48" s="111"/>
      <c r="F48" s="112" t="s">
        <v>65</v>
      </c>
      <c r="G48" s="112"/>
      <c r="H48" s="112"/>
      <c r="I48" s="177">
        <f>SUM(I46:I47)</f>
        <v>3692.37</v>
      </c>
      <c r="J48" s="178">
        <f>SUM(J46:J47)</f>
        <v>3692.37</v>
      </c>
      <c r="K48" s="114" t="s">
        <v>0</v>
      </c>
      <c r="L48" s="114"/>
      <c r="M48" s="114"/>
      <c r="N48" s="114"/>
    </row>
    <row r="49" spans="2:14" ht="15" customHeight="1" thickBot="1" thickTop="1">
      <c r="B49" s="100" t="s">
        <v>230</v>
      </c>
      <c r="F49" s="107"/>
      <c r="G49" s="107"/>
      <c r="H49" s="107"/>
      <c r="I49" s="179">
        <f>I43+I48</f>
        <v>9996.5614</v>
      </c>
      <c r="J49" s="180">
        <f>I49*I15</f>
        <v>9996.5614</v>
      </c>
      <c r="K49" s="107"/>
      <c r="L49" s="107"/>
      <c r="M49" s="107"/>
      <c r="N49" s="107"/>
    </row>
    <row r="50" spans="6:14" ht="13.5" thickTop="1">
      <c r="F50" s="107"/>
      <c r="G50" s="107"/>
      <c r="H50" s="107"/>
      <c r="I50" s="107"/>
      <c r="J50" s="107"/>
      <c r="K50" s="114" t="s">
        <v>0</v>
      </c>
      <c r="L50" s="114"/>
      <c r="M50" s="114"/>
      <c r="N50" s="114"/>
    </row>
    <row r="51" spans="6:43" ht="12.75">
      <c r="F51" s="107"/>
      <c r="G51" s="107"/>
      <c r="H51" s="107"/>
      <c r="I51" s="107"/>
      <c r="J51" s="107"/>
      <c r="K51" s="114"/>
      <c r="L51" s="114"/>
      <c r="M51" s="114"/>
      <c r="N51" s="114"/>
      <c r="AQ51" s="97" t="s">
        <v>110</v>
      </c>
    </row>
    <row r="52" spans="6:14" ht="12.75">
      <c r="F52" s="107"/>
      <c r="G52" s="107"/>
      <c r="H52" s="107"/>
      <c r="I52" s="107"/>
      <c r="J52" s="107"/>
      <c r="K52" s="114"/>
      <c r="L52" s="114"/>
      <c r="M52" s="114"/>
      <c r="N52" s="114"/>
    </row>
    <row r="53" spans="6:14" ht="12.75">
      <c r="F53" s="107"/>
      <c r="G53" s="107"/>
      <c r="H53" s="107"/>
      <c r="I53" s="107"/>
      <c r="J53" s="107"/>
      <c r="K53" s="114"/>
      <c r="L53" s="114"/>
      <c r="M53" s="114"/>
      <c r="N53" s="114"/>
    </row>
    <row r="54" spans="6:14" ht="12.75">
      <c r="F54" s="107"/>
      <c r="G54" s="107"/>
      <c r="H54" s="107"/>
      <c r="I54" s="107"/>
      <c r="J54" s="107"/>
      <c r="K54" s="114"/>
      <c r="L54" s="114"/>
      <c r="M54" s="114"/>
      <c r="N54" s="114"/>
    </row>
    <row r="55" spans="2:14" ht="15" customHeight="1">
      <c r="B55" s="100" t="s">
        <v>124</v>
      </c>
      <c r="C55" s="100"/>
      <c r="F55" s="106" t="s">
        <v>235</v>
      </c>
      <c r="G55" s="106" t="s">
        <v>195</v>
      </c>
      <c r="H55" s="105" t="s">
        <v>191</v>
      </c>
      <c r="I55" s="102" t="s">
        <v>66</v>
      </c>
      <c r="J55" s="109" t="s">
        <v>217</v>
      </c>
      <c r="K55" s="107"/>
      <c r="L55" s="107"/>
      <c r="M55" s="107"/>
      <c r="N55" s="107"/>
    </row>
    <row r="56" spans="3:14" ht="15" customHeight="1">
      <c r="C56" s="97" t="s">
        <v>231</v>
      </c>
      <c r="F56" s="112" t="s">
        <v>91</v>
      </c>
      <c r="G56" s="104">
        <v>1</v>
      </c>
      <c r="H56" s="117">
        <f>FxdCost!I28</f>
        <v>2590.80225696</v>
      </c>
      <c r="I56" s="117">
        <f>G56*H56</f>
        <v>2590.80225696</v>
      </c>
      <c r="J56" s="121">
        <f>I15*I56</f>
        <v>2590.80225696</v>
      </c>
      <c r="K56" s="114" t="s">
        <v>0</v>
      </c>
      <c r="L56" s="114"/>
      <c r="M56" s="114"/>
      <c r="N56" s="114"/>
    </row>
    <row r="57" spans="3:14" ht="15" customHeight="1">
      <c r="C57" s="97" t="s">
        <v>153</v>
      </c>
      <c r="F57" s="107" t="s">
        <v>91</v>
      </c>
      <c r="G57" s="104">
        <v>1</v>
      </c>
      <c r="H57" s="117">
        <f>+SSet!H50</f>
        <v>2895.1031666666668</v>
      </c>
      <c r="I57" s="117">
        <f>G57*H57</f>
        <v>2895.1031666666668</v>
      </c>
      <c r="J57" s="121">
        <f>I15*I57</f>
        <v>2895.1031666666668</v>
      </c>
      <c r="K57" s="107"/>
      <c r="L57" s="107"/>
      <c r="M57" s="107"/>
      <c r="N57" s="107"/>
    </row>
    <row r="58" spans="3:14" ht="15" customHeight="1">
      <c r="C58" s="97" t="s">
        <v>314</v>
      </c>
      <c r="F58" s="107" t="s">
        <v>91</v>
      </c>
      <c r="G58" s="104">
        <v>1</v>
      </c>
      <c r="H58" s="117">
        <f>+Yr3!H61</f>
        <v>2923.15332617287</v>
      </c>
      <c r="I58" s="117">
        <f>G58*H58</f>
        <v>2923.15332617287</v>
      </c>
      <c r="J58" s="121">
        <f>I16*I58</f>
        <v>2923.15332617287</v>
      </c>
      <c r="K58" s="107"/>
      <c r="L58" s="107"/>
      <c r="M58" s="107"/>
      <c r="N58" s="107"/>
    </row>
    <row r="59" spans="3:14" ht="15" customHeight="1">
      <c r="C59" s="97" t="s">
        <v>179</v>
      </c>
      <c r="F59" s="112" t="s">
        <v>91</v>
      </c>
      <c r="G59" s="101">
        <f>I43</f>
        <v>6304.191400000001</v>
      </c>
      <c r="H59" s="117">
        <v>0.15</v>
      </c>
      <c r="I59" s="117">
        <f>G59*H59</f>
        <v>945.6287100000001</v>
      </c>
      <c r="J59" s="121">
        <f>I15*I59</f>
        <v>945.6287100000001</v>
      </c>
      <c r="K59" s="107"/>
      <c r="L59" s="107"/>
      <c r="M59" s="107"/>
      <c r="N59" s="107"/>
    </row>
    <row r="60" spans="2:14" ht="15" customHeight="1" thickBot="1">
      <c r="B60" s="115" t="s">
        <v>302</v>
      </c>
      <c r="F60" s="112" t="s">
        <v>65</v>
      </c>
      <c r="G60" s="107"/>
      <c r="H60" s="118"/>
      <c r="I60" s="154">
        <f>SUM(I56:I59)</f>
        <v>9354.687459799537</v>
      </c>
      <c r="J60" s="156">
        <f>I15*I60</f>
        <v>9354.687459799537</v>
      </c>
      <c r="K60" s="107"/>
      <c r="L60" s="107"/>
      <c r="M60" s="107"/>
      <c r="N60" s="107"/>
    </row>
    <row r="61" spans="7:14" ht="15" customHeight="1" thickTop="1">
      <c r="G61" s="107"/>
      <c r="H61" s="118"/>
      <c r="I61" s="113" t="s">
        <v>0</v>
      </c>
      <c r="J61" s="118"/>
      <c r="K61" s="107"/>
      <c r="L61" s="107"/>
      <c r="M61" s="107"/>
      <c r="N61" s="107"/>
    </row>
    <row r="62" spans="2:20" ht="15" customHeight="1" thickBot="1">
      <c r="B62" s="115" t="s">
        <v>301</v>
      </c>
      <c r="G62" s="107"/>
      <c r="H62" s="118"/>
      <c r="I62" s="154">
        <f>I43+I48+I60</f>
        <v>19351.24885979954</v>
      </c>
      <c r="J62" s="155">
        <f>I15*I62</f>
        <v>19351.24885979954</v>
      </c>
      <c r="K62" s="107"/>
      <c r="L62" s="107"/>
      <c r="M62" s="107"/>
      <c r="N62" s="107"/>
      <c r="P62" s="97" t="s">
        <v>74</v>
      </c>
      <c r="T62" s="97" t="s">
        <v>74</v>
      </c>
    </row>
    <row r="63" spans="2:20" ht="15" customHeight="1" thickTop="1">
      <c r="B63" s="115"/>
      <c r="G63" s="107"/>
      <c r="H63" s="118"/>
      <c r="I63" s="119"/>
      <c r="J63" s="120"/>
      <c r="K63" s="107"/>
      <c r="L63" s="107"/>
      <c r="M63" s="107"/>
      <c r="N63" s="107"/>
      <c r="P63" s="97" t="s">
        <v>7</v>
      </c>
      <c r="T63" s="97" t="s">
        <v>74</v>
      </c>
    </row>
    <row r="64" spans="2:20" ht="15" customHeight="1">
      <c r="B64" s="115"/>
      <c r="G64" s="107"/>
      <c r="H64" s="118"/>
      <c r="I64" s="119"/>
      <c r="J64" s="120"/>
      <c r="K64" s="107"/>
      <c r="L64" s="107"/>
      <c r="M64" s="107"/>
      <c r="N64" s="107"/>
      <c r="P64" s="97" t="s">
        <v>1</v>
      </c>
      <c r="T64" s="97" t="s">
        <v>74</v>
      </c>
    </row>
    <row r="65" spans="2:20" ht="15" customHeight="1" thickBot="1">
      <c r="B65" s="136"/>
      <c r="C65" s="137"/>
      <c r="D65" s="137"/>
      <c r="E65" s="137"/>
      <c r="F65" s="137"/>
      <c r="G65" s="138"/>
      <c r="H65" s="139"/>
      <c r="I65" s="140"/>
      <c r="J65" s="141"/>
      <c r="K65" s="138"/>
      <c r="L65" s="107"/>
      <c r="M65" s="107"/>
      <c r="N65" s="107"/>
      <c r="P65" s="110">
        <f>I15</f>
        <v>1</v>
      </c>
      <c r="Q65" s="97" t="s">
        <v>10</v>
      </c>
      <c r="T65" s="97" t="s">
        <v>74</v>
      </c>
    </row>
    <row r="66" spans="2:20" ht="15" customHeight="1">
      <c r="B66" s="115"/>
      <c r="G66" s="107"/>
      <c r="H66" s="118"/>
      <c r="I66" s="119"/>
      <c r="J66" s="120"/>
      <c r="K66" s="107"/>
      <c r="L66" s="107"/>
      <c r="M66" s="107"/>
      <c r="N66" s="107"/>
      <c r="P66" s="110">
        <f>E20</f>
        <v>39600</v>
      </c>
      <c r="Q66" s="97" t="s">
        <v>12</v>
      </c>
      <c r="R66" s="95">
        <f>E21</f>
        <v>0.72</v>
      </c>
      <c r="S66" s="97" t="s">
        <v>11</v>
      </c>
      <c r="T66" s="97" t="s">
        <v>74</v>
      </c>
    </row>
    <row r="67" spans="7:20" ht="15" customHeight="1">
      <c r="G67" s="107"/>
      <c r="H67" s="107"/>
      <c r="I67" s="107"/>
      <c r="J67" s="107"/>
      <c r="K67" s="107"/>
      <c r="L67" s="107"/>
      <c r="M67" s="107"/>
      <c r="N67" s="107"/>
      <c r="P67" s="110">
        <f>F20</f>
        <v>36300</v>
      </c>
      <c r="Q67" s="97" t="s">
        <v>29</v>
      </c>
      <c r="R67" s="95">
        <f>F21</f>
        <v>0.66</v>
      </c>
      <c r="S67" s="97" t="s">
        <v>28</v>
      </c>
      <c r="T67" s="97" t="s">
        <v>74</v>
      </c>
    </row>
    <row r="68" spans="3:18" ht="15" customHeight="1">
      <c r="C68" s="100" t="s">
        <v>103</v>
      </c>
      <c r="G68" s="107"/>
      <c r="H68" s="107"/>
      <c r="I68" s="107"/>
      <c r="J68" s="107"/>
      <c r="K68" s="107"/>
      <c r="L68" s="107"/>
      <c r="M68" s="107"/>
      <c r="N68" s="107"/>
      <c r="P68" s="110"/>
      <c r="R68" s="95"/>
    </row>
    <row r="69" spans="3:20" ht="15" customHeight="1">
      <c r="C69" s="111" t="s">
        <v>316</v>
      </c>
      <c r="G69" s="107"/>
      <c r="H69" s="107"/>
      <c r="I69" s="104">
        <f>I43/G46</f>
        <v>0.2851285119855269</v>
      </c>
      <c r="J69" s="107"/>
      <c r="K69" s="107"/>
      <c r="L69" s="107"/>
      <c r="M69" s="107"/>
      <c r="N69" s="107"/>
      <c r="P69" s="110">
        <f>G20</f>
        <v>33000</v>
      </c>
      <c r="Q69" s="97" t="s">
        <v>22</v>
      </c>
      <c r="R69" s="95">
        <f>G21</f>
        <v>0.6</v>
      </c>
      <c r="S69" s="97" t="s">
        <v>21</v>
      </c>
      <c r="T69" s="97" t="s">
        <v>74</v>
      </c>
    </row>
    <row r="70" spans="3:20" ht="15" customHeight="1">
      <c r="C70" s="111" t="s">
        <v>317</v>
      </c>
      <c r="G70" s="107"/>
      <c r="H70" s="107"/>
      <c r="I70" s="104">
        <f>I48/G46</f>
        <v>0.16699999999999998</v>
      </c>
      <c r="J70" s="107"/>
      <c r="K70" s="107"/>
      <c r="L70" s="107"/>
      <c r="M70" s="107"/>
      <c r="N70" s="107"/>
      <c r="P70" s="110">
        <f>H20</f>
        <v>29700</v>
      </c>
      <c r="Q70" s="97" t="s">
        <v>32</v>
      </c>
      <c r="R70" s="95">
        <f>H21</f>
        <v>0.54</v>
      </c>
      <c r="S70" s="97" t="s">
        <v>31</v>
      </c>
      <c r="T70" s="97" t="s">
        <v>74</v>
      </c>
    </row>
    <row r="71" spans="3:20" ht="15" customHeight="1">
      <c r="C71" s="111" t="s">
        <v>318</v>
      </c>
      <c r="D71" s="97" t="s">
        <v>60</v>
      </c>
      <c r="G71" s="107"/>
      <c r="H71" s="107"/>
      <c r="I71" s="104">
        <f>I60/G46</f>
        <v>0.42309757846221335</v>
      </c>
      <c r="J71" s="107"/>
      <c r="K71" s="107"/>
      <c r="L71" s="107"/>
      <c r="M71" s="107"/>
      <c r="N71" s="107"/>
      <c r="P71" s="110">
        <f>I20</f>
        <v>26400</v>
      </c>
      <c r="Q71" s="97" t="s">
        <v>55</v>
      </c>
      <c r="R71" s="95">
        <f>I21</f>
        <v>0.48</v>
      </c>
      <c r="S71" s="97" t="s">
        <v>54</v>
      </c>
      <c r="T71" s="97" t="s">
        <v>74</v>
      </c>
    </row>
    <row r="72" spans="2:20" ht="15" customHeight="1">
      <c r="B72" s="100"/>
      <c r="C72" s="111" t="s">
        <v>319</v>
      </c>
      <c r="G72" s="107"/>
      <c r="H72" s="107"/>
      <c r="I72" s="102">
        <f>UNITCOST/MEDP</f>
        <v>32252.081432999235</v>
      </c>
      <c r="J72" s="107"/>
      <c r="K72" s="107"/>
      <c r="L72" s="107"/>
      <c r="M72" s="107"/>
      <c r="N72" s="107"/>
      <c r="P72" s="95">
        <f>I70</f>
        <v>0.16699999999999998</v>
      </c>
      <c r="Q72" s="97" t="s">
        <v>20</v>
      </c>
      <c r="T72" s="97" t="s">
        <v>74</v>
      </c>
    </row>
    <row r="73" spans="3:20" ht="15" customHeight="1">
      <c r="C73" s="97" t="s">
        <v>337</v>
      </c>
      <c r="G73" s="107"/>
      <c r="H73" s="107"/>
      <c r="I73" s="104">
        <f>UNITCOST/MEDY</f>
        <v>0.5864014805999861</v>
      </c>
      <c r="J73" s="107"/>
      <c r="K73" s="107"/>
      <c r="L73" s="107"/>
      <c r="M73" s="107"/>
      <c r="N73" s="107"/>
      <c r="P73" s="95">
        <f>I43+I60</f>
        <v>15658.878859799537</v>
      </c>
      <c r="Q73" s="97" t="s">
        <v>45</v>
      </c>
      <c r="T73" s="97" t="s">
        <v>74</v>
      </c>
    </row>
    <row r="74" spans="7:20" ht="15" customHeight="1">
      <c r="G74" s="107"/>
      <c r="H74" s="107"/>
      <c r="I74" s="107"/>
      <c r="J74" s="107"/>
      <c r="K74" s="107"/>
      <c r="L74" s="107"/>
      <c r="M74" s="107"/>
      <c r="N74" s="107"/>
      <c r="P74" s="97" t="s">
        <v>74</v>
      </c>
      <c r="T74" s="97" t="s">
        <v>74</v>
      </c>
    </row>
    <row r="75" spans="7:20" ht="15" customHeight="1">
      <c r="G75" s="107"/>
      <c r="H75" s="107"/>
      <c r="I75" s="107"/>
      <c r="J75" s="107"/>
      <c r="K75" s="107"/>
      <c r="L75" s="107"/>
      <c r="M75" s="107"/>
      <c r="N75" s="107"/>
      <c r="P75" s="97" t="s">
        <v>1</v>
      </c>
      <c r="T75" s="97" t="s">
        <v>80</v>
      </c>
    </row>
    <row r="76" spans="7:20" ht="15" customHeight="1">
      <c r="G76" s="118"/>
      <c r="H76" s="107"/>
      <c r="I76" s="107"/>
      <c r="J76" s="107"/>
      <c r="K76" s="107"/>
      <c r="L76" s="107"/>
      <c r="M76" s="107"/>
      <c r="N76" s="107"/>
      <c r="Q76" s="97" t="s">
        <v>106</v>
      </c>
      <c r="T76" s="97" t="s">
        <v>80</v>
      </c>
    </row>
    <row r="77" spans="1:20" ht="15" customHeight="1">
      <c r="A77" s="200" t="s">
        <v>120</v>
      </c>
      <c r="B77" s="200"/>
      <c r="C77" s="200"/>
      <c r="D77" s="200"/>
      <c r="E77" s="200"/>
      <c r="F77" s="200"/>
      <c r="G77" s="200"/>
      <c r="H77" s="200"/>
      <c r="I77" s="200"/>
      <c r="J77" s="200"/>
      <c r="K77" s="200"/>
      <c r="L77" s="116"/>
      <c r="M77" s="116"/>
      <c r="N77" s="116"/>
      <c r="P77" s="97" t="s">
        <v>1</v>
      </c>
      <c r="T77" s="97" t="s">
        <v>80</v>
      </c>
    </row>
    <row r="78" spans="7:20" ht="15" customHeight="1">
      <c r="G78" s="106" t="s">
        <v>0</v>
      </c>
      <c r="H78" s="106"/>
      <c r="I78" s="107"/>
      <c r="J78" s="107"/>
      <c r="K78" s="107"/>
      <c r="L78" s="107"/>
      <c r="M78" s="107"/>
      <c r="N78" s="107"/>
      <c r="P78" s="110">
        <f>0.04*P66+0.25*P67+0.42*P69+0.25*P70+0.04*P71</f>
        <v>33000</v>
      </c>
      <c r="Q78" s="97" t="s">
        <v>18</v>
      </c>
      <c r="R78" s="97">
        <f>0.04*R66+0.25*R67+0.42*R69+0.25*R70+0.04*R71</f>
        <v>0.6</v>
      </c>
      <c r="S78" s="97" t="s">
        <v>17</v>
      </c>
      <c r="T78" s="97" t="s">
        <v>80</v>
      </c>
    </row>
    <row r="79" spans="7:20" ht="15" customHeight="1">
      <c r="G79" s="107"/>
      <c r="H79" s="107"/>
      <c r="I79" s="107"/>
      <c r="J79" s="107"/>
      <c r="K79" s="107"/>
      <c r="L79" s="107"/>
      <c r="M79" s="107"/>
      <c r="N79" s="107"/>
      <c r="P79" s="97">
        <f>0.25*(P66-P78)+0.5*(P67-P78)</f>
        <v>3300</v>
      </c>
      <c r="Q79" s="97" t="s">
        <v>43</v>
      </c>
      <c r="R79" s="97">
        <f>0.25*(R66-R78)+0.5*(R67-R78)</f>
        <v>0.060000000000000026</v>
      </c>
      <c r="S79" s="97" t="s">
        <v>35</v>
      </c>
      <c r="T79" s="97" t="s">
        <v>80</v>
      </c>
    </row>
    <row r="80" spans="3:20" ht="15" customHeight="1">
      <c r="C80" s="97" t="s">
        <v>0</v>
      </c>
      <c r="D80" s="97" t="s">
        <v>119</v>
      </c>
      <c r="F80" s="97" t="s">
        <v>242</v>
      </c>
      <c r="G80" s="107"/>
      <c r="H80" s="104" t="s">
        <v>119</v>
      </c>
      <c r="I80" s="104" t="s">
        <v>0</v>
      </c>
      <c r="J80" s="122" t="s">
        <v>218</v>
      </c>
      <c r="K80" s="107"/>
      <c r="L80" s="107"/>
      <c r="M80" s="107"/>
      <c r="N80" s="107"/>
      <c r="P80" s="97">
        <f>0.25*(P78-P71)+0.5*(P78-P70)</f>
        <v>3300</v>
      </c>
      <c r="Q80" s="97" t="s">
        <v>44</v>
      </c>
      <c r="R80" s="97">
        <f>0.25*(R78-R71)+0.5*(R78-R70)</f>
        <v>0.05999999999999997</v>
      </c>
      <c r="S80" s="97" t="s">
        <v>36</v>
      </c>
      <c r="T80" s="97" t="s">
        <v>80</v>
      </c>
    </row>
    <row r="81" spans="3:20" ht="15" customHeight="1">
      <c r="C81" s="97" t="s">
        <v>93</v>
      </c>
      <c r="D81" s="97" t="s">
        <v>247</v>
      </c>
      <c r="F81" s="97" t="s">
        <v>168</v>
      </c>
      <c r="G81" s="107"/>
      <c r="H81" s="104" t="s">
        <v>192</v>
      </c>
      <c r="I81" s="104" t="s">
        <v>0</v>
      </c>
      <c r="J81" s="122" t="s">
        <v>202</v>
      </c>
      <c r="K81" s="107" t="s">
        <v>2</v>
      </c>
      <c r="L81" s="107"/>
      <c r="M81" s="107"/>
      <c r="N81" s="107"/>
      <c r="P81" s="110">
        <f>P79^2</f>
        <v>10890000</v>
      </c>
      <c r="Q81" s="97" t="s">
        <v>52</v>
      </c>
      <c r="R81" s="97">
        <f>R79^2</f>
        <v>0.003600000000000003</v>
      </c>
      <c r="S81" s="97" t="s">
        <v>46</v>
      </c>
      <c r="T81" s="97" t="s">
        <v>80</v>
      </c>
    </row>
    <row r="82" spans="7:20" ht="15" customHeight="1">
      <c r="G82" s="107"/>
      <c r="H82" s="107"/>
      <c r="I82" s="107"/>
      <c r="J82" s="107"/>
      <c r="K82" s="107"/>
      <c r="L82" s="107"/>
      <c r="M82" s="107"/>
      <c r="N82" s="107"/>
      <c r="P82" s="110">
        <f>P80^2</f>
        <v>10890000</v>
      </c>
      <c r="Q82" s="97" t="s">
        <v>53</v>
      </c>
      <c r="R82" s="97">
        <f>R80^2</f>
        <v>0.0035999999999999964</v>
      </c>
      <c r="S82" s="97" t="s">
        <v>47</v>
      </c>
      <c r="T82" s="97" t="s">
        <v>80</v>
      </c>
    </row>
    <row r="83" spans="3:20" ht="15" customHeight="1" thickBot="1">
      <c r="C83" s="110">
        <f>I15</f>
        <v>1</v>
      </c>
      <c r="D83" s="110">
        <f>MEDY</f>
        <v>33000</v>
      </c>
      <c r="F83" s="110">
        <f>G46</f>
        <v>22110</v>
      </c>
      <c r="G83" s="107"/>
      <c r="H83" s="104">
        <f>MEDP</f>
        <v>0.6</v>
      </c>
      <c r="I83" s="107"/>
      <c r="J83" s="152">
        <f>F83*R78</f>
        <v>13266</v>
      </c>
      <c r="K83" s="107"/>
      <c r="L83" s="107"/>
      <c r="M83" s="107"/>
      <c r="N83" s="107"/>
      <c r="P83" s="97" t="s">
        <v>1</v>
      </c>
      <c r="T83" s="97" t="s">
        <v>80</v>
      </c>
    </row>
    <row r="84" spans="7:20" ht="15" customHeight="1" thickTop="1">
      <c r="G84" s="107"/>
      <c r="H84" s="107"/>
      <c r="I84" s="107"/>
      <c r="J84" s="107"/>
      <c r="K84" s="107"/>
      <c r="L84" s="107"/>
      <c r="M84" s="107"/>
      <c r="N84" s="107"/>
      <c r="P84" s="110">
        <f>(P78^2*R81)+(R78-P72)^2*P81</f>
        <v>5962155.210000003</v>
      </c>
      <c r="Q84" s="110" t="s">
        <v>48</v>
      </c>
      <c r="R84" s="110">
        <f>(P78^2*R82)+(R78-P72)^2*P82</f>
        <v>5962155.209999996</v>
      </c>
      <c r="S84" s="97" t="s">
        <v>51</v>
      </c>
      <c r="T84" s="97" t="s">
        <v>80</v>
      </c>
    </row>
    <row r="85" spans="7:20" ht="15" customHeight="1">
      <c r="G85" s="107"/>
      <c r="H85" s="107"/>
      <c r="I85" s="107"/>
      <c r="J85" s="107"/>
      <c r="K85" s="107"/>
      <c r="L85" s="107"/>
      <c r="M85" s="107"/>
      <c r="N85" s="107"/>
      <c r="P85" s="110">
        <f>(P78^2*R81)+(R78-P72)^2*P82</f>
        <v>5962155.210000003</v>
      </c>
      <c r="Q85" s="110" t="s">
        <v>49</v>
      </c>
      <c r="R85" s="110">
        <f>P78^2*R82+(R78-P72)^2*P81</f>
        <v>5962155.209999996</v>
      </c>
      <c r="S85" s="97" t="s">
        <v>50</v>
      </c>
      <c r="T85" s="97" t="s">
        <v>80</v>
      </c>
    </row>
    <row r="86" spans="2:21" ht="15" customHeight="1" thickBot="1">
      <c r="B86" s="137"/>
      <c r="C86" s="137"/>
      <c r="D86" s="137"/>
      <c r="E86" s="137"/>
      <c r="F86" s="137"/>
      <c r="G86" s="138"/>
      <c r="H86" s="138"/>
      <c r="I86" s="138"/>
      <c r="J86" s="138"/>
      <c r="K86" s="138"/>
      <c r="L86" s="107"/>
      <c r="M86" s="107"/>
      <c r="N86" s="107"/>
      <c r="P86" s="110">
        <f>SQRT(P84)</f>
        <v>2441.7524874564997</v>
      </c>
      <c r="Q86" s="110" t="s">
        <v>37</v>
      </c>
      <c r="R86" s="110">
        <f>SQRT(R84)</f>
        <v>2441.7524874564983</v>
      </c>
      <c r="S86" s="97" t="s">
        <v>40</v>
      </c>
      <c r="T86" s="97" t="s">
        <v>80</v>
      </c>
      <c r="U86" s="97" t="s">
        <v>0</v>
      </c>
    </row>
    <row r="87" spans="7:20" ht="15" customHeight="1">
      <c r="G87" s="107"/>
      <c r="H87" s="107"/>
      <c r="I87" s="107"/>
      <c r="J87" s="107"/>
      <c r="K87" s="107"/>
      <c r="L87" s="107"/>
      <c r="M87" s="107"/>
      <c r="N87" s="107"/>
      <c r="P87" s="110">
        <f>SQRT(P85)</f>
        <v>2441.7524874564997</v>
      </c>
      <c r="Q87" s="110" t="s">
        <v>38</v>
      </c>
      <c r="R87" s="110">
        <f>SQRT(R85)</f>
        <v>2441.7524874564983</v>
      </c>
      <c r="S87" s="97" t="s">
        <v>39</v>
      </c>
      <c r="T87" s="97" t="s">
        <v>80</v>
      </c>
    </row>
    <row r="88" spans="7:46" ht="15" customHeight="1">
      <c r="G88" s="107"/>
      <c r="H88" s="107"/>
      <c r="I88" s="107"/>
      <c r="J88" s="107"/>
      <c r="K88" s="107"/>
      <c r="L88" s="107"/>
      <c r="M88" s="107"/>
      <c r="N88" s="107"/>
      <c r="P88" s="110">
        <f>0.66*P86+0.17*P87+0.17*R87</f>
        <v>2441.7524874564997</v>
      </c>
      <c r="Q88" s="110" t="s">
        <v>41</v>
      </c>
      <c r="R88" s="110">
        <f>0.66*R86+0.17*P87+0.17*R87</f>
        <v>2441.752487456499</v>
      </c>
      <c r="S88" s="97" t="s">
        <v>42</v>
      </c>
      <c r="T88" s="97" t="s">
        <v>80</v>
      </c>
      <c r="AT88" s="97" t="s">
        <v>204</v>
      </c>
    </row>
    <row r="89" spans="1:20" ht="15" customHeight="1">
      <c r="A89" s="200" t="s">
        <v>4</v>
      </c>
      <c r="B89" s="200"/>
      <c r="C89" s="200"/>
      <c r="D89" s="200"/>
      <c r="E89" s="200"/>
      <c r="F89" s="200"/>
      <c r="G89" s="200"/>
      <c r="H89" s="200"/>
      <c r="I89" s="200"/>
      <c r="J89" s="200"/>
      <c r="K89" s="200"/>
      <c r="L89" s="116"/>
      <c r="M89" s="116"/>
      <c r="N89" s="116"/>
      <c r="P89" s="97" t="s">
        <v>1</v>
      </c>
      <c r="T89" s="97" t="s">
        <v>80</v>
      </c>
    </row>
    <row r="90" spans="7:20" ht="15" customHeight="1">
      <c r="G90" s="107"/>
      <c r="H90" s="107"/>
      <c r="I90" s="107"/>
      <c r="J90" s="107"/>
      <c r="K90" s="107"/>
      <c r="L90" s="107"/>
      <c r="M90" s="107"/>
      <c r="N90" s="107"/>
      <c r="P90" s="97" t="s">
        <v>105</v>
      </c>
      <c r="T90" s="97" t="s">
        <v>80</v>
      </c>
    </row>
    <row r="91" spans="3:20" ht="15" customHeight="1">
      <c r="C91" s="123"/>
      <c r="D91" s="142" t="s">
        <v>171</v>
      </c>
      <c r="E91" s="143"/>
      <c r="F91" s="143"/>
      <c r="G91" s="143"/>
      <c r="H91" s="144"/>
      <c r="I91" s="145"/>
      <c r="J91" s="107"/>
      <c r="K91" s="107"/>
      <c r="L91" s="107"/>
      <c r="M91" s="107"/>
      <c r="N91" s="107"/>
      <c r="P91" s="97" t="s">
        <v>1</v>
      </c>
      <c r="T91" s="97" t="s">
        <v>80</v>
      </c>
    </row>
    <row r="92" spans="3:20" ht="15" customHeight="1">
      <c r="C92" s="123"/>
      <c r="D92" s="146" t="s">
        <v>212</v>
      </c>
      <c r="E92" s="123"/>
      <c r="F92" s="123"/>
      <c r="G92" s="123"/>
      <c r="H92" s="107"/>
      <c r="I92" s="147"/>
      <c r="J92" s="107"/>
      <c r="K92" s="107"/>
      <c r="L92" s="107"/>
      <c r="M92" s="107"/>
      <c r="N92" s="107"/>
      <c r="P92" s="110">
        <f>P86*P65</f>
        <v>2441.7524874564997</v>
      </c>
      <c r="Q92" s="97" t="s">
        <v>37</v>
      </c>
      <c r="R92" s="110">
        <f>R86*P65</f>
        <v>2441.7524874564983</v>
      </c>
      <c r="S92" s="97" t="s">
        <v>40</v>
      </c>
      <c r="T92" s="97" t="s">
        <v>80</v>
      </c>
    </row>
    <row r="93" spans="3:20" ht="15" customHeight="1">
      <c r="C93" s="123"/>
      <c r="D93" s="148" t="s">
        <v>211</v>
      </c>
      <c r="E93" s="149"/>
      <c r="F93" s="149"/>
      <c r="G93" s="149"/>
      <c r="H93" s="150"/>
      <c r="I93" s="151"/>
      <c r="J93" s="107"/>
      <c r="K93" s="107"/>
      <c r="L93" s="107"/>
      <c r="M93" s="107"/>
      <c r="N93" s="107"/>
      <c r="P93" s="110">
        <f>P87*P65</f>
        <v>2441.7524874564997</v>
      </c>
      <c r="Q93" s="97" t="s">
        <v>38</v>
      </c>
      <c r="R93" s="110">
        <f>R87*P65</f>
        <v>2441.7524874564983</v>
      </c>
      <c r="S93" s="97" t="s">
        <v>39</v>
      </c>
      <c r="T93" s="97" t="s">
        <v>80</v>
      </c>
    </row>
    <row r="94" spans="7:20" ht="15" customHeight="1">
      <c r="G94" s="107"/>
      <c r="H94" s="107"/>
      <c r="I94" s="107"/>
      <c r="J94" s="107"/>
      <c r="K94" s="107" t="s">
        <v>0</v>
      </c>
      <c r="L94" s="107"/>
      <c r="M94" s="107"/>
      <c r="N94" s="107"/>
      <c r="P94" s="110">
        <f>P65*P88</f>
        <v>2441.7524874564997</v>
      </c>
      <c r="Q94" s="97" t="s">
        <v>41</v>
      </c>
      <c r="R94" s="110">
        <f>P65*R88</f>
        <v>2441.752487456499</v>
      </c>
      <c r="S94" s="97" t="s">
        <v>42</v>
      </c>
      <c r="T94" s="97" t="s">
        <v>80</v>
      </c>
    </row>
    <row r="95" spans="4:20" ht="15" customHeight="1">
      <c r="D95" s="116" t="s">
        <v>102</v>
      </c>
      <c r="E95" s="116" t="s">
        <v>330</v>
      </c>
      <c r="F95" s="116" t="s">
        <v>176</v>
      </c>
      <c r="G95" s="116" t="s">
        <v>19</v>
      </c>
      <c r="H95" s="116" t="s">
        <v>183</v>
      </c>
      <c r="I95" s="124" t="s">
        <v>331</v>
      </c>
      <c r="J95" s="116" t="s">
        <v>244</v>
      </c>
      <c r="K95" s="107"/>
      <c r="L95" s="107"/>
      <c r="M95" s="107"/>
      <c r="N95" s="107"/>
      <c r="P95" s="95">
        <f>R69</f>
        <v>0.6</v>
      </c>
      <c r="Q95" s="97" t="s">
        <v>24</v>
      </c>
      <c r="R95" s="97">
        <f>P69</f>
        <v>33000</v>
      </c>
      <c r="S95" s="97" t="s">
        <v>27</v>
      </c>
      <c r="T95" s="97" t="s">
        <v>80</v>
      </c>
    </row>
    <row r="96" spans="4:20" ht="15" customHeight="1">
      <c r="D96" s="107"/>
      <c r="J96" s="107"/>
      <c r="K96" s="107"/>
      <c r="L96" s="107"/>
      <c r="M96" s="107"/>
      <c r="N96" s="107"/>
      <c r="P96" s="110">
        <f>I15*P78*R78</f>
        <v>19800</v>
      </c>
      <c r="Q96" s="97" t="s">
        <v>16</v>
      </c>
      <c r="R96" s="110">
        <f>(P73+P69*P72)*P65</f>
        <v>21169.878859799537</v>
      </c>
      <c r="S96" s="97" t="s">
        <v>25</v>
      </c>
      <c r="T96" s="97" t="s">
        <v>80</v>
      </c>
    </row>
    <row r="97" spans="2:20" ht="15" customHeight="1">
      <c r="B97" s="97" t="s">
        <v>78</v>
      </c>
      <c r="D97" s="122">
        <f>R$97+1.5*P$94</f>
        <v>2292.7498713852124</v>
      </c>
      <c r="E97" s="122">
        <f>(R97+P94)</f>
        <v>1071.8736276569625</v>
      </c>
      <c r="F97" s="122">
        <f>R97+0.5*P94</f>
        <v>-149.00261607128732</v>
      </c>
      <c r="G97" s="163">
        <f>R97</f>
        <v>-1369.8788597995372</v>
      </c>
      <c r="H97" s="160">
        <f>R97-0.5*R94</f>
        <v>-2590.7551035277866</v>
      </c>
      <c r="I97" s="160">
        <f>R97-R94</f>
        <v>-3811.631347256036</v>
      </c>
      <c r="J97" s="160">
        <f>R97-1.5*R94</f>
        <v>-5032.507590984285</v>
      </c>
      <c r="K97" s="107"/>
      <c r="L97" s="107"/>
      <c r="M97" s="107"/>
      <c r="N97" s="107"/>
      <c r="P97" s="110">
        <f>P96+(0.7857*(R94-P94))</f>
        <v>19800</v>
      </c>
      <c r="Q97" s="97" t="s">
        <v>26</v>
      </c>
      <c r="R97" s="110">
        <f>P96-R96</f>
        <v>-1369.8788597995372</v>
      </c>
      <c r="S97" s="97" t="s">
        <v>14</v>
      </c>
      <c r="T97" s="97" t="s">
        <v>80</v>
      </c>
    </row>
    <row r="98" spans="2:20" ht="15" customHeight="1">
      <c r="B98" s="97" t="s">
        <v>107</v>
      </c>
      <c r="D98" s="126">
        <f>IF(Q101&lt;1,IF(P101,U101,1-U101),IF(P101,U102,1-U102))</f>
        <v>0.0668072793758486</v>
      </c>
      <c r="E98" s="126">
        <f>IF(W101&lt;1,IF(V101,AA101,1-AA101),IF(V101,AA102,1-AA102))</f>
        <v>0.15865531316113046</v>
      </c>
      <c r="F98" s="126">
        <f>IF(AC101&lt;1,IF(AB101,AG101,1-AG101),IF(AB101,AG102,1-AG102))</f>
        <v>0.30853755861792775</v>
      </c>
      <c r="G98" s="126">
        <f>IF(Q103&lt;1,IF(P103,U103,1-U103),IF(P103,U104,1-U104))</f>
        <v>0.5000000002253843</v>
      </c>
      <c r="H98" s="127">
        <f>IF(W103&lt;1,IF(V103,AA103,1-AA103),IF(V103,AA104,1-AA104))</f>
        <v>0.6914624413820722</v>
      </c>
      <c r="I98" s="127">
        <f>IF(AC103&lt;1,IF(AB103,AG103,1-AG103),IF(AB103,AG104,1-AG104))</f>
        <v>0.8413446868388694</v>
      </c>
      <c r="J98" s="128">
        <f>IF(Q105&lt;1,IF(P105,U105,1-U105),IF(P105,U106,1-U106))</f>
        <v>0.9331927206241514</v>
      </c>
      <c r="K98" s="107" t="s">
        <v>0</v>
      </c>
      <c r="L98" s="107"/>
      <c r="M98" s="107"/>
      <c r="N98" s="107"/>
      <c r="P98" s="110">
        <f>P97-R96</f>
        <v>-1369.8788597995372</v>
      </c>
      <c r="Q98" s="97" t="s">
        <v>23</v>
      </c>
      <c r="R98" s="97">
        <f>R97-P98</f>
        <v>0</v>
      </c>
      <c r="S98" s="97" t="s">
        <v>15</v>
      </c>
      <c r="T98" s="97" t="s">
        <v>80</v>
      </c>
    </row>
    <row r="99" spans="2:20" ht="15" customHeight="1">
      <c r="B99" s="97" t="s">
        <v>107</v>
      </c>
      <c r="D99" s="129">
        <f>IF(Q101&lt;1,IF(P101,1-U101,U101),IF(P101,1-U102,U102))</f>
        <v>0.9331927206241514</v>
      </c>
      <c r="E99" s="129">
        <f>IF(W101&lt;1,IF(V101,1-AA101,AA101),IF(V101,1-AA102,AA102))</f>
        <v>0.8413446868388695</v>
      </c>
      <c r="F99" s="129">
        <f>IF(AC101&lt;1,IF(AB101,1-AG101,AG101),IF(AB101,1-AG102,AG102))</f>
        <v>0.6914624413820722</v>
      </c>
      <c r="G99" s="126">
        <f>IF(Q103&lt;1,IF(P103,1-U103,U103),IF(P103,1-U104,U104))</f>
        <v>0.49999999977461573</v>
      </c>
      <c r="H99" s="126">
        <f>IF(W103&lt;1,IF(V103,1-AA103,AA103),IF(V103,1-AA104,AA104))</f>
        <v>0.30853755861792775</v>
      </c>
      <c r="I99" s="126">
        <f>IF(AC103&lt;1,IF(AB103,1-AG103,AG103),IF(AB103,1-AG104,AG104))</f>
        <v>0.15865531316113052</v>
      </c>
      <c r="J99" s="126">
        <f>IF(Q105&lt;1,IF(P105,1-U105,U105),IF(P105,1-U106,U106))</f>
        <v>0.0668072793758486</v>
      </c>
      <c r="K99" s="107"/>
      <c r="L99" s="107"/>
      <c r="M99" s="107"/>
      <c r="N99" s="107"/>
      <c r="P99" s="97" t="s">
        <v>1</v>
      </c>
      <c r="T99" s="97" t="s">
        <v>80</v>
      </c>
    </row>
    <row r="100" spans="4:14" ht="15" customHeight="1">
      <c r="D100" s="107"/>
      <c r="E100" s="107"/>
      <c r="F100" s="107"/>
      <c r="G100" s="107"/>
      <c r="H100" s="107"/>
      <c r="I100" s="107"/>
      <c r="J100" s="107"/>
      <c r="K100" s="107"/>
      <c r="L100" s="107"/>
      <c r="M100" s="107"/>
      <c r="N100" s="107"/>
    </row>
    <row r="101" spans="2:33" ht="15" customHeight="1" thickBot="1">
      <c r="B101" s="115" t="s">
        <v>329</v>
      </c>
      <c r="D101" s="107"/>
      <c r="E101" s="158">
        <f>IF(W105&lt;1,IF(V105,AA105,1-AA105),IF(V105,AA106,1-AA106))</f>
        <v>0.2873909848107913</v>
      </c>
      <c r="F101" s="112" t="s">
        <v>328</v>
      </c>
      <c r="G101" s="107"/>
      <c r="H101" s="107"/>
      <c r="I101" s="107"/>
      <c r="J101" s="153">
        <f>P65*(G20*G21-I62)</f>
        <v>448.7511402004602</v>
      </c>
      <c r="K101" s="107"/>
      <c r="L101" s="107"/>
      <c r="M101" s="107"/>
      <c r="N101" s="107"/>
      <c r="P101" s="95" t="b">
        <f>+D97&gt;=P98</f>
        <v>1</v>
      </c>
      <c r="Q101" s="95">
        <f>ABS((D97-R97)/IF(P101,P94,R94))</f>
        <v>1.5</v>
      </c>
      <c r="R101" s="95">
        <f>MIN(2.5,ABS((D97-(P98+R98*ABS(D97-P98)/ABS(IF(P101,P94+R98,R94-R98))*MIN(1,Q101)))/(MIN(1.52,Q101)/1.52*IF(P101,P92,R92)+(1.52-MIN(1.52,Q101))/3.04*P93+(1.52-MIN(1.52,Q101))/3.04*R93)))</f>
        <v>1.5</v>
      </c>
      <c r="S101" s="95">
        <f aca="true" t="shared" si="2" ref="S101:S106">1/(1+(0.2316419*R101))</f>
        <v>0.7421354881880418</v>
      </c>
      <c r="T101" s="95">
        <f aca="true" t="shared" si="3" ref="T101:T106">0.398942281*((2.71828)^((-(R101^2)/2)))</f>
        <v>0.12951769387066342</v>
      </c>
      <c r="U101" s="95">
        <f aca="true" t="shared" si="4" ref="U101:U106">T101*(0.31938153*S101-0.356563782*S101^2+1.781477937*S101^3-1.821255978*S101^4+1.330274429*S101^5)</f>
        <v>0.0668072793758486</v>
      </c>
      <c r="V101" s="95" t="b">
        <f>+E97&gt;=P98</f>
        <v>1</v>
      </c>
      <c r="W101" s="95">
        <f>ABS((E97-R97)/IF(V101,P94,R94))</f>
        <v>1</v>
      </c>
      <c r="X101" s="95">
        <f>MIN(2.5,ABS((E97-(P98+R98*ABS(E97-P98)/ABS(IF(V101,P94+R98,R94-R98))*MIN(1,W101)))/(MIN(1.52,W101)/1.52*IF(V101,P92,R92)+(1.52-MIN(1.52,W101))/3.04*P93+(1.52-MIN(1.52,W101))/3.04*R93)))</f>
        <v>1.0000000000000002</v>
      </c>
      <c r="Y101" s="95">
        <f aca="true" t="shared" si="5" ref="Y101:Y106">1/(1+(0.2316419*X101))</f>
        <v>0.8119243101424204</v>
      </c>
      <c r="Z101" s="95">
        <f aca="true" t="shared" si="6" ref="Z101:Z106">0.398942281*((2.71828)^((-(X101^2)/2)))</f>
        <v>0.24197080626333928</v>
      </c>
      <c r="AA101" s="95">
        <f aca="true" t="shared" si="7" ref="AA101:AA106">Z101*(0.31938153*Y101-0.356563782*Y101^2+1.781477937*Y101^3-1.821255978*Y101^4+1.330274429*Y101^5)</f>
        <v>0.15865531316113046</v>
      </c>
      <c r="AB101" s="95" t="b">
        <f>+F97&gt;=P98</f>
        <v>1</v>
      </c>
      <c r="AC101" s="95">
        <f>ABS((F97-R97)/IF(AB101,P94,R94))</f>
        <v>0.5</v>
      </c>
      <c r="AD101" s="95">
        <f>MIN(2.5,ABS((F97-(P98+R98*ABS(F97-P98)/ABS(IF(AB101,P94+R98,R94-R98))*MIN(1,AC101)))/(MIN(1.52,AC101)/1.52*IF(AB101,P92,R92)+(1.52-MIN(1.52,AC101))/3.04*P93+(1.52-MIN(1.52,AC101))/3.04*R93)))</f>
        <v>0.5000000000000001</v>
      </c>
      <c r="AE101" s="95">
        <f>1/(1+(0.2316419*AD101))</f>
        <v>0.8962011333449152</v>
      </c>
      <c r="AF101" s="95">
        <f>0.398942281*((2.71828)^((-(AD101^2)/2)))</f>
        <v>0.35206535689474694</v>
      </c>
      <c r="AG101" s="95">
        <f>AF101*(0.31938153*AE101-0.356563782*AE101^2+1.781477937*AE101^3-1.821255978*AE101^4+1.330274429*AE101^5)</f>
        <v>0.30853755861792775</v>
      </c>
    </row>
    <row r="102" spans="7:33" ht="15" customHeight="1" thickTop="1">
      <c r="G102" s="107"/>
      <c r="H102" s="107"/>
      <c r="I102" s="107"/>
      <c r="J102" s="107"/>
      <c r="K102" s="107"/>
      <c r="L102" s="107"/>
      <c r="M102" s="107"/>
      <c r="N102" s="107"/>
      <c r="R102" s="95">
        <f>MIN(2.5,ABS((D97-R97)/(MIN(1.52,Q101)/1.52*IF(P101,P92,R92)+(1.52-MIN(1.52,Q101))/3.04*P93+(1.52-MIN(1.52,Q101))/3.04*R93)))</f>
        <v>1.5</v>
      </c>
      <c r="S102" s="95">
        <f t="shared" si="2"/>
        <v>0.7421354881880418</v>
      </c>
      <c r="T102" s="95">
        <f t="shared" si="3"/>
        <v>0.12951769387066342</v>
      </c>
      <c r="U102" s="95">
        <f t="shared" si="4"/>
        <v>0.0668072793758486</v>
      </c>
      <c r="X102" s="95">
        <f>MIN(2.5,ABS((E97-R97)/(MIN(1.52,W101)/1.52*IF(V101,P92,R92)+(1.52-MIN(1.52,W101))/3.04*P93+(1.52-MIN(1.52,W101))/3.04*R93)))</f>
        <v>1.0000000000000002</v>
      </c>
      <c r="Y102" s="95">
        <f t="shared" si="5"/>
        <v>0.8119243101424204</v>
      </c>
      <c r="Z102" s="95">
        <f t="shared" si="6"/>
        <v>0.24197080626333928</v>
      </c>
      <c r="AA102" s="95">
        <f t="shared" si="7"/>
        <v>0.15865531316113046</v>
      </c>
      <c r="AD102" s="95">
        <f>MIN(2.5,ABS((F97-R97)/(MIN(1.52,AC101)/1.52*IF(AB101,P92,R92)+(1.52-MIN(1.52,AC101))/3.04*P93+(1.52-MIN(1.52,AC101))/3.04*R93)))</f>
        <v>0.5000000000000001</v>
      </c>
      <c r="AE102" s="95">
        <f>1/(1+(0.2316419*AD102))</f>
        <v>0.8962011333449152</v>
      </c>
      <c r="AF102" s="95">
        <f>0.398942281*((2.71828)^((-(AD102^2)/2)))</f>
        <v>0.35206535689474694</v>
      </c>
      <c r="AG102" s="95">
        <f>AF102*(0.31938153*AE102-0.356563782*AE102^2+1.781477937*AE102^3-1.821255978*AE102^4+1.330274429*AE102^5)</f>
        <v>0.30853755861792775</v>
      </c>
    </row>
    <row r="103" spans="7:33" ht="15" customHeight="1">
      <c r="G103" s="107"/>
      <c r="H103" s="107"/>
      <c r="I103" s="107"/>
      <c r="J103" s="107"/>
      <c r="K103" s="107"/>
      <c r="L103" s="107"/>
      <c r="M103" s="107"/>
      <c r="N103" s="107"/>
      <c r="P103" s="95" t="b">
        <f>+G97&gt;=P98</f>
        <v>1</v>
      </c>
      <c r="Q103" s="95">
        <f>ABS((G97-R97)/IF(P103,P94,R94))</f>
        <v>0</v>
      </c>
      <c r="R103" s="95">
        <f>MIN(2.5,ABS((G97-(P98+R98*ABS(G97-P98)/ABS(IF(P103,P94+R98,R94-R98))*MIN(1,Q103)))/(MIN(1.52,Q103)/1.52*IF(P103,P92,R92)+(1.52-MIN(1.52,Q103))/3.04*P93+(1.52-MIN(1.52,Q103))/3.04*R93)))</f>
        <v>0</v>
      </c>
      <c r="S103" s="95">
        <f t="shared" si="2"/>
        <v>1</v>
      </c>
      <c r="T103" s="95">
        <f t="shared" si="3"/>
        <v>0.398942281</v>
      </c>
      <c r="U103" s="95">
        <f t="shared" si="4"/>
        <v>0.5000000002253843</v>
      </c>
      <c r="V103" s="95" t="b">
        <f>+H97&gt;=P98</f>
        <v>0</v>
      </c>
      <c r="W103" s="95">
        <f>ABS((H97-R97)/IF(V103,P94,R94))</f>
        <v>0.5</v>
      </c>
      <c r="X103" s="95">
        <f>MIN(2.5,ABS((H97-(P98+R98*ABS(H97-P98)/ABS(IF(V103,P94+R98,R94-R98))*MIN(1,W103)))/(MIN(1.52,W103)/1.52*IF(V103,P92,R92)+(1.52-MIN(1.52,W103))/3.04*P93+(1.52-MIN(1.52,W103))/3.04*R93)))</f>
        <v>0.5</v>
      </c>
      <c r="Y103" s="95">
        <f t="shared" si="5"/>
        <v>0.8962011333449152</v>
      </c>
      <c r="Z103" s="95">
        <f t="shared" si="6"/>
        <v>0.35206535689474694</v>
      </c>
      <c r="AA103" s="95">
        <f t="shared" si="7"/>
        <v>0.30853755861792775</v>
      </c>
      <c r="AB103" s="95" t="b">
        <f>+I97&gt;=P98</f>
        <v>0</v>
      </c>
      <c r="AC103" s="95">
        <f>ABS((I97-R97)/IF(AB103,P94,R94))</f>
        <v>1</v>
      </c>
      <c r="AD103" s="95">
        <f>MIN(2.5,ABS((I97-(P98+R98*ABS(I97-P98)/ABS(IF(AB103,P94+R98,R94-R98))*MIN(1,AC103)))/(MIN(1.52,AC103)/1.52*IF(AB103,P92,R92)+(1.52-MIN(1.52,AC103))/3.04*P93+(1.52-MIN(1.52,AC103))/3.04*R93)))</f>
        <v>1</v>
      </c>
      <c r="AE103" s="95">
        <f>1/(1+(0.2316419*AD103))</f>
        <v>0.8119243101424204</v>
      </c>
      <c r="AF103" s="95">
        <f>0.398942281*((2.71828)^((-(AD103^2)/2)))</f>
        <v>0.24197080626333936</v>
      </c>
      <c r="AG103" s="95">
        <f>AF103*(0.31938153*AE103-0.356563782*AE103^2+1.781477937*AE103^3-1.821255978*AE103^4+1.330274429*AE103^5)</f>
        <v>0.15865531316113052</v>
      </c>
    </row>
    <row r="104" spans="1:33" ht="15" customHeight="1">
      <c r="A104" s="200"/>
      <c r="B104" s="200"/>
      <c r="C104" s="200"/>
      <c r="D104" s="200"/>
      <c r="E104" s="200"/>
      <c r="F104" s="200"/>
      <c r="G104" s="200"/>
      <c r="H104" s="200"/>
      <c r="I104" s="200"/>
      <c r="J104" s="200"/>
      <c r="K104" s="200"/>
      <c r="L104" s="200"/>
      <c r="M104" s="200"/>
      <c r="N104" s="200"/>
      <c r="O104" s="200"/>
      <c r="R104" s="95">
        <f>MIN(2.5,ABS((G97-R97)/(MIN(1.52,Q103)/1.52*IF(P103,P92,R92)+(1.52-MIN(1.52,Q103))/3.04*P93+(1.52-MIN(1.52,Q103))/3.04*R93)))</f>
        <v>0</v>
      </c>
      <c r="S104" s="95">
        <f t="shared" si="2"/>
        <v>1</v>
      </c>
      <c r="T104" s="95">
        <f t="shared" si="3"/>
        <v>0.398942281</v>
      </c>
      <c r="U104" s="95">
        <f t="shared" si="4"/>
        <v>0.5000000002253843</v>
      </c>
      <c r="X104" s="95">
        <f>MIN(2.5,ABS((H97-R97)/(MIN(1.52,W103)/1.52*IF(V103,P92,R92)+(1.52-MIN(1.52,W103))/3.04*P93+(1.52-MIN(1.52,W103))/3.04*R93)))</f>
        <v>0.5</v>
      </c>
      <c r="Y104" s="95">
        <f t="shared" si="5"/>
        <v>0.8962011333449152</v>
      </c>
      <c r="Z104" s="95">
        <f t="shared" si="6"/>
        <v>0.35206535689474694</v>
      </c>
      <c r="AA104" s="95">
        <f t="shared" si="7"/>
        <v>0.30853755861792775</v>
      </c>
      <c r="AD104" s="95">
        <f>MIN(2.5,ABS((I97-R97)/(MIN(1.52,AC103)/1.52*IF(AB103,P92,R92)+(1.52-MIN(1.52,AC103))/3.04*P93+(1.52-MIN(1.52,AC103))/3.04*R93)))</f>
        <v>1</v>
      </c>
      <c r="AE104" s="95">
        <f>1/(1+(0.2316419*AD104))</f>
        <v>0.8119243101424204</v>
      </c>
      <c r="AF104" s="95">
        <f>0.398942281*((2.71828)^((-(AD104^2)/2)))</f>
        <v>0.24197080626333936</v>
      </c>
      <c r="AG104" s="95">
        <f>AF104*(0.31938153*AE104-0.356563782*AE104^2+1.781477937*AE104^3-1.821255978*AE104^4+1.330274429*AE104^5)</f>
        <v>0.15865531316113052</v>
      </c>
    </row>
    <row r="105" spans="16:27" ht="12.75">
      <c r="P105" s="95" t="b">
        <f>+J97&gt;=P98</f>
        <v>0</v>
      </c>
      <c r="Q105" s="95">
        <f>ABS((J97-R97)/IF(P105,P94,R94))</f>
        <v>1.5</v>
      </c>
      <c r="R105" s="95">
        <f>MIN(2.5,ABS((J97-(P98+R98*ABS(J97-P98)/ABS(IF(P105,P94+R98,R94-R98))*MIN(1,Q105)))/(MIN(1.52,Q105)/1.52*IF(P105,P92,R92)+(1.52-MIN(1.52,Q105))/3.04*P93+(1.52-MIN(1.52,Q105))/3.04*R93)))</f>
        <v>1.5</v>
      </c>
      <c r="S105" s="95">
        <f t="shared" si="2"/>
        <v>0.7421354881880418</v>
      </c>
      <c r="T105" s="95">
        <f t="shared" si="3"/>
        <v>0.12951769387066342</v>
      </c>
      <c r="U105" s="95">
        <f t="shared" si="4"/>
        <v>0.0668072793758486</v>
      </c>
      <c r="V105" s="95" t="b">
        <f>0&gt;=P98</f>
        <v>1</v>
      </c>
      <c r="W105" s="95">
        <f>ABS((0-R97)/IF(V105,P94,R94))</f>
        <v>0.5610228173562747</v>
      </c>
      <c r="X105" s="95">
        <f>MIN(2.5,ABS((0-(P98+R98*ABS(0-P98)/ABS(IF(V105,P94+R98,R94-R98))*MIN(1,W105)))/(MIN(1.52,W105)/1.52*IF(V105,P92,R92)+(1.52-MIN(1.52,W105))/3.04*P93+(1.52-MIN(1.52,W105))/3.04*R93)))</f>
        <v>0.5610228173562747</v>
      </c>
      <c r="Y105" s="95">
        <f t="shared" si="5"/>
        <v>0.884989905495526</v>
      </c>
      <c r="Z105" s="95">
        <f t="shared" si="6"/>
        <v>0.34085035943655195</v>
      </c>
      <c r="AA105" s="95">
        <f t="shared" si="7"/>
        <v>0.2873909848107913</v>
      </c>
    </row>
    <row r="106" spans="2:27" ht="12.75">
      <c r="B106" s="116"/>
      <c r="C106" s="116"/>
      <c r="D106" s="116"/>
      <c r="E106" s="116"/>
      <c r="F106" s="116"/>
      <c r="G106" s="116"/>
      <c r="H106" s="116"/>
      <c r="I106" s="116"/>
      <c r="J106" s="116"/>
      <c r="K106" s="115"/>
      <c r="L106" s="115"/>
      <c r="M106" s="115"/>
      <c r="N106" s="115"/>
      <c r="R106" s="95">
        <f>MIN(2.5,ABS((J97-R97)/(MIN(1.52,Q105)/1.52*IF(P105,P92,R92)+(1.52-MIN(1.52,Q105))/3.04*P93+(1.52-MIN(1.52,Q105))/3.04*R93)))</f>
        <v>1.5</v>
      </c>
      <c r="S106" s="95">
        <f t="shared" si="2"/>
        <v>0.7421354881880418</v>
      </c>
      <c r="T106" s="95">
        <f t="shared" si="3"/>
        <v>0.12951769387066342</v>
      </c>
      <c r="U106" s="95">
        <f t="shared" si="4"/>
        <v>0.0668072793758486</v>
      </c>
      <c r="X106" s="95">
        <f>MIN(2.5,ABS((0-R97)/(MIN(1.52,W105)/1.52*IF(V105,P92,R92)+(1.52-MIN(1.52,W105))/3.04*P93+(1.52-MIN(1.52,W105))/3.04*R93)))</f>
        <v>0.5610228173562747</v>
      </c>
      <c r="Y106" s="95">
        <f t="shared" si="5"/>
        <v>0.884989905495526</v>
      </c>
      <c r="Z106" s="95">
        <f t="shared" si="6"/>
        <v>0.34085035943655195</v>
      </c>
      <c r="AA106" s="95">
        <f t="shared" si="7"/>
        <v>0.2873909848107913</v>
      </c>
    </row>
    <row r="107" spans="2:14" ht="12.75">
      <c r="B107" s="116"/>
      <c r="C107" s="116"/>
      <c r="D107" s="116"/>
      <c r="E107" s="116"/>
      <c r="F107" s="116"/>
      <c r="G107" s="116"/>
      <c r="H107" s="116"/>
      <c r="I107" s="116"/>
      <c r="J107" s="116"/>
      <c r="K107" s="115"/>
      <c r="L107" s="115"/>
      <c r="M107" s="115"/>
      <c r="N107" s="115"/>
    </row>
    <row r="108" spans="2:14" ht="12.75">
      <c r="B108" s="104"/>
      <c r="C108" s="160"/>
      <c r="D108" s="160"/>
      <c r="E108" s="160"/>
      <c r="F108" s="160"/>
      <c r="G108" s="160"/>
      <c r="H108" s="160"/>
      <c r="I108" s="160"/>
      <c r="J108" s="160"/>
      <c r="K108" s="126"/>
      <c r="L108" s="130"/>
      <c r="M108" s="130"/>
      <c r="N108" s="130"/>
    </row>
    <row r="109" spans="2:15" ht="12.75">
      <c r="B109" s="104"/>
      <c r="C109" s="125"/>
      <c r="D109" s="160"/>
      <c r="E109" s="160"/>
      <c r="F109" s="160"/>
      <c r="G109" s="160"/>
      <c r="H109" s="160"/>
      <c r="I109" s="160"/>
      <c r="J109" s="160"/>
      <c r="K109" s="126"/>
      <c r="L109" s="130"/>
      <c r="M109" s="130"/>
      <c r="N109" s="130"/>
      <c r="O109" s="97" t="s">
        <v>0</v>
      </c>
    </row>
    <row r="110" spans="2:14" ht="12.75">
      <c r="B110" s="124"/>
      <c r="C110" s="173"/>
      <c r="D110" s="173"/>
      <c r="E110" s="173"/>
      <c r="F110" s="163"/>
      <c r="G110" s="163"/>
      <c r="H110" s="163"/>
      <c r="I110" s="163"/>
      <c r="J110" s="173"/>
      <c r="K110" s="182"/>
      <c r="L110" s="131"/>
      <c r="M110" s="131"/>
      <c r="N110" s="131"/>
    </row>
    <row r="111" spans="2:21" ht="12.75">
      <c r="B111" s="104"/>
      <c r="C111" s="125"/>
      <c r="D111" s="122"/>
      <c r="E111" s="122"/>
      <c r="F111" s="125"/>
      <c r="G111" s="125"/>
      <c r="H111" s="160"/>
      <c r="I111" s="160"/>
      <c r="J111" s="125"/>
      <c r="K111" s="126"/>
      <c r="L111" s="130"/>
      <c r="M111" s="130"/>
      <c r="N111" s="130"/>
      <c r="Q111" s="104"/>
      <c r="R111" s="104"/>
      <c r="S111" s="105"/>
      <c r="T111" s="104"/>
      <c r="U111" s="104"/>
    </row>
    <row r="112" spans="1:14" ht="12.75">
      <c r="A112" s="97" t="s">
        <v>81</v>
      </c>
      <c r="B112" s="104"/>
      <c r="C112" s="125"/>
      <c r="D112" s="122"/>
      <c r="E112" s="122"/>
      <c r="F112" s="125"/>
      <c r="G112" s="122"/>
      <c r="H112" s="125"/>
      <c r="I112" s="160"/>
      <c r="J112" s="122"/>
      <c r="K112" s="126"/>
      <c r="L112" s="130"/>
      <c r="M112" s="130"/>
      <c r="N112" s="130"/>
    </row>
    <row r="113" spans="17:23" ht="12.75">
      <c r="Q113" s="104"/>
      <c r="R113" s="104"/>
      <c r="S113" s="124"/>
      <c r="T113" s="104"/>
      <c r="U113" s="104"/>
      <c r="V113" s="108"/>
      <c r="W113" s="108"/>
    </row>
    <row r="114" spans="10:19" ht="12.75">
      <c r="J114" s="104"/>
      <c r="K114" s="104"/>
      <c r="L114" s="104"/>
      <c r="M114" s="104"/>
      <c r="N114" s="104"/>
      <c r="O114" s="124"/>
      <c r="P114" s="104"/>
      <c r="Q114" s="104"/>
      <c r="R114" s="108"/>
      <c r="S114" s="108"/>
    </row>
    <row r="115" spans="2:24" ht="12.75">
      <c r="B115" s="168"/>
      <c r="C115" s="169"/>
      <c r="D115" s="169"/>
      <c r="E115" s="169"/>
      <c r="F115" s="169"/>
      <c r="G115" s="169"/>
      <c r="H115" s="169"/>
      <c r="I115" s="169"/>
      <c r="J115" s="169"/>
      <c r="K115" s="169"/>
      <c r="L115" s="169"/>
      <c r="M115" s="169"/>
      <c r="N115" s="169"/>
      <c r="R115" s="104"/>
      <c r="S115" s="104"/>
      <c r="T115" s="105"/>
      <c r="U115" s="104"/>
      <c r="V115" s="104"/>
      <c r="W115" s="108"/>
      <c r="X115" s="108"/>
    </row>
    <row r="116" spans="2:14" ht="12.75">
      <c r="B116" s="169"/>
      <c r="C116" s="169"/>
      <c r="D116" s="169"/>
      <c r="E116" s="169"/>
      <c r="F116" s="169"/>
      <c r="G116" s="169"/>
      <c r="H116" s="169"/>
      <c r="I116" s="169"/>
      <c r="J116" s="169"/>
      <c r="K116" s="169"/>
      <c r="L116" s="169"/>
      <c r="M116" s="169"/>
      <c r="N116" s="169"/>
    </row>
    <row r="117" spans="2:14" ht="12.75">
      <c r="B117" s="169"/>
      <c r="C117" s="169"/>
      <c r="D117" s="169"/>
      <c r="E117" s="169"/>
      <c r="F117" s="169"/>
      <c r="G117" s="169"/>
      <c r="H117" s="169"/>
      <c r="I117" s="169"/>
      <c r="J117" s="169"/>
      <c r="K117" s="169"/>
      <c r="L117" s="169"/>
      <c r="M117" s="169"/>
      <c r="N117" s="169"/>
    </row>
    <row r="118" spans="2:14" ht="12.75">
      <c r="B118" s="169"/>
      <c r="C118" s="169"/>
      <c r="D118" s="169"/>
      <c r="E118" s="169"/>
      <c r="F118" s="169"/>
      <c r="G118" s="169"/>
      <c r="H118" s="169"/>
      <c r="I118" s="169"/>
      <c r="J118" s="169"/>
      <c r="K118" s="169"/>
      <c r="L118" s="169"/>
      <c r="M118" s="169"/>
      <c r="N118" s="169"/>
    </row>
    <row r="119" ht="12.75">
      <c r="A119" s="97" t="s">
        <v>2</v>
      </c>
    </row>
    <row r="120" ht="12.75">
      <c r="A120" s="97" t="s">
        <v>2</v>
      </c>
    </row>
    <row r="121" ht="12.75">
      <c r="A121" s="97" t="s">
        <v>2</v>
      </c>
    </row>
    <row r="122" ht="12.75">
      <c r="A122" s="97" t="s">
        <v>2</v>
      </c>
    </row>
    <row r="123" spans="2:10" ht="12.75">
      <c r="B123" s="132"/>
      <c r="C123" s="132"/>
      <c r="D123" s="132"/>
      <c r="E123" s="132"/>
      <c r="F123" s="132"/>
      <c r="G123" s="132"/>
      <c r="H123" s="132"/>
      <c r="I123" s="132"/>
      <c r="J123" s="133"/>
    </row>
    <row r="124" spans="2:10" ht="12.75">
      <c r="B124" s="199"/>
      <c r="C124" s="199"/>
      <c r="D124" s="199"/>
      <c r="E124" s="199"/>
      <c r="F124" s="199"/>
      <c r="G124" s="199"/>
      <c r="H124" s="199"/>
      <c r="I124" s="199"/>
      <c r="J124" s="199"/>
    </row>
    <row r="125" spans="2:10" ht="12.75">
      <c r="B125" s="199"/>
      <c r="C125" s="199"/>
      <c r="D125" s="199"/>
      <c r="E125" s="199"/>
      <c r="F125" s="199"/>
      <c r="G125" s="199"/>
      <c r="H125" s="199"/>
      <c r="I125" s="199"/>
      <c r="J125" s="199"/>
    </row>
    <row r="136" spans="2:9" ht="12.75">
      <c r="B136" s="100"/>
      <c r="C136" s="100"/>
      <c r="D136" s="100"/>
      <c r="E136" s="106"/>
      <c r="F136" s="106"/>
      <c r="G136" s="106"/>
      <c r="H136" s="105"/>
      <c r="I136" s="105"/>
    </row>
    <row r="137" spans="5:9" ht="12.75">
      <c r="E137" s="107"/>
      <c r="F137" s="107"/>
      <c r="G137" s="107"/>
      <c r="H137" s="107"/>
      <c r="I137" s="107"/>
    </row>
    <row r="138" spans="5:9" ht="12.75">
      <c r="E138" s="101"/>
      <c r="F138" s="101"/>
      <c r="G138" s="102"/>
      <c r="H138" s="101"/>
      <c r="I138" s="101"/>
    </row>
    <row r="139" spans="5:9" ht="12.75">
      <c r="E139" s="104"/>
      <c r="F139" s="104"/>
      <c r="G139" s="105"/>
      <c r="H139" s="104"/>
      <c r="I139" s="104"/>
    </row>
  </sheetData>
  <sheetProtection/>
  <mergeCells count="10">
    <mergeCell ref="B2:O2"/>
    <mergeCell ref="B3:O3"/>
    <mergeCell ref="B5:O5"/>
    <mergeCell ref="B124:J124"/>
    <mergeCell ref="B125:J125"/>
    <mergeCell ref="A77:K77"/>
    <mergeCell ref="A89:K89"/>
    <mergeCell ref="A12:K12"/>
    <mergeCell ref="A104:O104"/>
    <mergeCell ref="B8:P8"/>
  </mergeCells>
  <printOptions/>
  <pageMargins left="0.26" right="0.19" top="0.49" bottom="0.49"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1"/>
  </sheetPr>
  <dimension ref="A2:L44"/>
  <sheetViews>
    <sheetView zoomScalePageLayoutView="0" workbookViewId="0" topLeftCell="A1">
      <selection activeCell="K17" sqref="K17"/>
    </sheetView>
  </sheetViews>
  <sheetFormatPr defaultColWidth="9.140625" defaultRowHeight="12.75"/>
  <cols>
    <col min="1" max="1" width="9.140625" style="1" customWidth="1"/>
    <col min="2" max="2" width="29.57421875" style="1" customWidth="1"/>
    <col min="3" max="3" width="3.421875" style="1" customWidth="1"/>
    <col min="4" max="4" width="9.140625" style="1" customWidth="1"/>
    <col min="5" max="5" width="9.7109375" style="1" customWidth="1"/>
    <col min="6" max="6" width="10.57421875" style="1" bestFit="1" customWidth="1"/>
    <col min="7" max="16384" width="9.140625" style="1" customWidth="1"/>
  </cols>
  <sheetData>
    <row r="2" spans="1:12" ht="20.25">
      <c r="A2" s="205" t="s">
        <v>342</v>
      </c>
      <c r="B2" s="205"/>
      <c r="C2" s="205"/>
      <c r="D2" s="205"/>
      <c r="E2" s="205"/>
      <c r="F2" s="205"/>
      <c r="G2" s="205"/>
      <c r="H2" s="205"/>
      <c r="I2" s="205"/>
      <c r="J2" s="205"/>
      <c r="K2" s="205"/>
      <c r="L2" s="205"/>
    </row>
    <row r="3" spans="1:12" ht="20.25">
      <c r="A3" s="202" t="s">
        <v>338</v>
      </c>
      <c r="B3" s="202"/>
      <c r="C3" s="202"/>
      <c r="D3" s="202"/>
      <c r="E3" s="202"/>
      <c r="F3" s="202"/>
      <c r="G3" s="202"/>
      <c r="H3" s="202"/>
      <c r="I3" s="202"/>
      <c r="J3" s="202"/>
      <c r="K3" s="202"/>
      <c r="L3" s="202"/>
    </row>
    <row r="4" spans="2:4" ht="15.75">
      <c r="B4" s="89"/>
      <c r="D4" s="59"/>
    </row>
    <row r="6" spans="1:9" ht="15.75">
      <c r="A6" s="194" t="s">
        <v>268</v>
      </c>
      <c r="B6" s="196"/>
      <c r="C6" s="196"/>
      <c r="D6" s="196"/>
      <c r="E6" s="196"/>
      <c r="F6" s="196"/>
      <c r="G6" s="196"/>
      <c r="H6" s="196"/>
      <c r="I6" s="196"/>
    </row>
    <row r="7" spans="2:8" ht="15.75">
      <c r="B7" s="203" t="s">
        <v>343</v>
      </c>
      <c r="C7" s="204"/>
      <c r="D7" s="204"/>
      <c r="E7" s="204"/>
      <c r="F7" s="204"/>
      <c r="G7" s="204"/>
      <c r="H7" s="204"/>
    </row>
    <row r="10" spans="2:8" ht="12.75">
      <c r="B10" s="19" t="s">
        <v>156</v>
      </c>
      <c r="C10" s="19"/>
      <c r="D10" s="19"/>
      <c r="E10" s="19" t="s">
        <v>236</v>
      </c>
      <c r="F10" s="19" t="s">
        <v>196</v>
      </c>
      <c r="G10" s="10" t="s">
        <v>192</v>
      </c>
      <c r="H10" s="9" t="s">
        <v>94</v>
      </c>
    </row>
    <row r="12" spans="2:8" ht="12.75">
      <c r="B12" s="36" t="s">
        <v>175</v>
      </c>
      <c r="C12" s="36"/>
      <c r="D12" s="40"/>
      <c r="E12" s="40"/>
      <c r="F12" s="40"/>
      <c r="G12" s="40"/>
      <c r="H12" s="40"/>
    </row>
    <row r="13" spans="2:8" ht="12.75">
      <c r="B13" s="40" t="s">
        <v>257</v>
      </c>
      <c r="C13" s="40"/>
      <c r="D13" s="40"/>
      <c r="E13" s="41" t="s">
        <v>91</v>
      </c>
      <c r="F13" s="42">
        <v>1</v>
      </c>
      <c r="G13" s="42">
        <v>594.83</v>
      </c>
      <c r="H13" s="42">
        <f aca="true" t="shared" si="0" ref="H13:H28">F13*G13</f>
        <v>594.83</v>
      </c>
    </row>
    <row r="14" spans="2:8" ht="12.75">
      <c r="B14" s="40" t="s">
        <v>163</v>
      </c>
      <c r="C14" s="40"/>
      <c r="D14" s="40"/>
      <c r="E14" s="41" t="s">
        <v>216</v>
      </c>
      <c r="F14" s="42">
        <v>1</v>
      </c>
      <c r="G14" s="42">
        <v>47.2</v>
      </c>
      <c r="H14" s="42">
        <f t="shared" si="0"/>
        <v>47.2</v>
      </c>
    </row>
    <row r="15" spans="2:8" ht="12.75">
      <c r="B15" s="40" t="s">
        <v>122</v>
      </c>
      <c r="C15" s="40"/>
      <c r="D15" s="40"/>
      <c r="E15" s="41" t="s">
        <v>91</v>
      </c>
      <c r="F15" s="42">
        <v>730</v>
      </c>
      <c r="G15" s="42">
        <v>0.4</v>
      </c>
      <c r="H15" s="42">
        <f t="shared" si="0"/>
        <v>292</v>
      </c>
    </row>
    <row r="16" spans="2:8" ht="12.75">
      <c r="B16" s="40" t="s">
        <v>283</v>
      </c>
      <c r="C16" s="40"/>
      <c r="D16" s="40"/>
      <c r="E16" s="41" t="s">
        <v>91</v>
      </c>
      <c r="F16" s="42">
        <v>2</v>
      </c>
      <c r="G16" s="42">
        <f>Bud!H28</f>
        <v>35.16</v>
      </c>
      <c r="H16" s="42">
        <f t="shared" si="0"/>
        <v>70.32</v>
      </c>
    </row>
    <row r="17" spans="2:8" ht="12.75">
      <c r="B17" s="40" t="s">
        <v>284</v>
      </c>
      <c r="C17" s="40"/>
      <c r="D17" s="40"/>
      <c r="E17" s="41" t="s">
        <v>91</v>
      </c>
      <c r="F17" s="42">
        <v>2</v>
      </c>
      <c r="G17" s="42">
        <f>Bud!H29</f>
        <v>35.16</v>
      </c>
      <c r="H17" s="42">
        <f t="shared" si="0"/>
        <v>70.32</v>
      </c>
    </row>
    <row r="18" spans="2:8" ht="12.75">
      <c r="B18" s="40" t="s">
        <v>145</v>
      </c>
      <c r="C18" s="40"/>
      <c r="D18" s="40"/>
      <c r="E18" s="41" t="s">
        <v>91</v>
      </c>
      <c r="F18" s="42">
        <v>5</v>
      </c>
      <c r="G18" s="42">
        <f>Bud!H30</f>
        <v>13.58</v>
      </c>
      <c r="H18" s="42">
        <f t="shared" si="0"/>
        <v>67.9</v>
      </c>
    </row>
    <row r="19" spans="2:8" ht="12.75">
      <c r="B19" s="40" t="s">
        <v>132</v>
      </c>
      <c r="C19" s="40"/>
      <c r="D19" s="40"/>
      <c r="E19" s="41" t="s">
        <v>91</v>
      </c>
      <c r="F19" s="42">
        <v>5</v>
      </c>
      <c r="G19" s="42">
        <f>Bud!H31</f>
        <v>16.52</v>
      </c>
      <c r="H19" s="42">
        <f t="shared" si="0"/>
        <v>82.6</v>
      </c>
    </row>
    <row r="20" spans="2:8" ht="12.75">
      <c r="B20" s="40" t="s">
        <v>322</v>
      </c>
      <c r="C20" s="40"/>
      <c r="D20" s="40"/>
      <c r="E20" s="41" t="s">
        <v>232</v>
      </c>
      <c r="F20" s="42">
        <v>145</v>
      </c>
      <c r="G20" s="42">
        <f>Bud!H32</f>
        <v>17.33</v>
      </c>
      <c r="H20" s="42">
        <f t="shared" si="0"/>
        <v>2512.85</v>
      </c>
    </row>
    <row r="21" spans="2:8" ht="12.75">
      <c r="B21" s="40" t="s">
        <v>281</v>
      </c>
      <c r="C21" s="40"/>
      <c r="D21" s="40"/>
      <c r="E21" s="41" t="s">
        <v>91</v>
      </c>
      <c r="F21" s="42">
        <v>1</v>
      </c>
      <c r="G21" s="42">
        <f>Bud!H35</f>
        <v>91.01</v>
      </c>
      <c r="H21" s="42">
        <f t="shared" si="0"/>
        <v>91.01</v>
      </c>
    </row>
    <row r="22" spans="2:8" ht="12.75">
      <c r="B22" s="40" t="s">
        <v>290</v>
      </c>
      <c r="C22" s="40"/>
      <c r="D22" s="40"/>
      <c r="E22" s="41" t="s">
        <v>91</v>
      </c>
      <c r="F22" s="42">
        <v>1</v>
      </c>
      <c r="G22" s="42">
        <f>Bud!H33</f>
        <v>36.75</v>
      </c>
      <c r="H22" s="42">
        <f t="shared" si="0"/>
        <v>36.75</v>
      </c>
    </row>
    <row r="23" spans="2:8" ht="12.75">
      <c r="B23" s="40" t="s">
        <v>291</v>
      </c>
      <c r="C23" s="40"/>
      <c r="D23" s="40"/>
      <c r="E23" s="41" t="s">
        <v>91</v>
      </c>
      <c r="F23" s="42">
        <v>1</v>
      </c>
      <c r="G23" s="42">
        <f>Bud!H34</f>
        <v>7.14</v>
      </c>
      <c r="H23" s="42">
        <f t="shared" si="0"/>
        <v>7.14</v>
      </c>
    </row>
    <row r="24" spans="2:8" ht="12.75">
      <c r="B24" s="40" t="s">
        <v>157</v>
      </c>
      <c r="C24" s="40"/>
      <c r="D24" s="40"/>
      <c r="E24" s="41" t="s">
        <v>142</v>
      </c>
      <c r="F24" s="42">
        <v>70</v>
      </c>
      <c r="G24" s="42">
        <f>Bud!H36</f>
        <v>14.68</v>
      </c>
      <c r="H24" s="42">
        <f t="shared" si="0"/>
        <v>1027.6</v>
      </c>
    </row>
    <row r="25" spans="2:8" ht="12.75">
      <c r="B25" s="40" t="s">
        <v>56</v>
      </c>
      <c r="C25" s="40"/>
      <c r="D25" s="40"/>
      <c r="E25" s="41" t="s">
        <v>341</v>
      </c>
      <c r="F25" s="42">
        <v>20</v>
      </c>
      <c r="G25" s="42">
        <f>Bud!H37</f>
        <v>4</v>
      </c>
      <c r="H25" s="42">
        <f t="shared" si="0"/>
        <v>80</v>
      </c>
    </row>
    <row r="26" spans="2:8" ht="12.75">
      <c r="B26" s="40" t="s">
        <v>62</v>
      </c>
      <c r="C26" s="40"/>
      <c r="D26" s="40"/>
      <c r="E26" s="41" t="s">
        <v>91</v>
      </c>
      <c r="F26" s="42">
        <v>1</v>
      </c>
      <c r="G26" s="42">
        <f>Bud!H38</f>
        <v>40.32</v>
      </c>
      <c r="H26" s="42">
        <f t="shared" si="0"/>
        <v>40.32</v>
      </c>
    </row>
    <row r="27" spans="2:8" ht="12.75">
      <c r="B27" s="40" t="s">
        <v>292</v>
      </c>
      <c r="C27" s="40"/>
      <c r="D27" s="40"/>
      <c r="E27" s="41" t="s">
        <v>91</v>
      </c>
      <c r="F27" s="42">
        <v>1</v>
      </c>
      <c r="G27" s="42">
        <f>Bud!H39</f>
        <v>1807.3854999999999</v>
      </c>
      <c r="H27" s="42">
        <f t="shared" si="0"/>
        <v>1807.3854999999999</v>
      </c>
    </row>
    <row r="28" spans="2:8" ht="12.75">
      <c r="B28" s="40" t="s">
        <v>151</v>
      </c>
      <c r="C28" s="40"/>
      <c r="D28" s="40"/>
      <c r="E28" s="41" t="s">
        <v>91</v>
      </c>
      <c r="F28" s="42">
        <f>SUM(H9:H26)</f>
        <v>5020.84</v>
      </c>
      <c r="G28" s="41">
        <v>0.075</v>
      </c>
      <c r="H28" s="42">
        <f t="shared" si="0"/>
        <v>376.563</v>
      </c>
    </row>
    <row r="29" spans="2:8" ht="13.5" thickBot="1">
      <c r="B29" s="36" t="s">
        <v>228</v>
      </c>
      <c r="C29" s="40"/>
      <c r="D29" s="40"/>
      <c r="E29" s="41" t="s">
        <v>65</v>
      </c>
      <c r="F29" s="41"/>
      <c r="G29" s="41"/>
      <c r="H29" s="55">
        <f>SUM(H14:H28)</f>
        <v>6609.958500000001</v>
      </c>
    </row>
    <row r="30" spans="2:8" ht="13.5" thickTop="1">
      <c r="B30" s="40"/>
      <c r="C30" s="40"/>
      <c r="D30" s="40"/>
      <c r="E30" s="41"/>
      <c r="F30" s="41"/>
      <c r="G30" s="41"/>
      <c r="H30" s="62"/>
    </row>
    <row r="31" spans="3:8" ht="12.75">
      <c r="C31" s="36"/>
      <c r="D31" s="40"/>
      <c r="E31" s="41"/>
      <c r="F31" s="41"/>
      <c r="G31" s="41"/>
      <c r="H31" s="41"/>
    </row>
    <row r="32" spans="2:8" ht="12.75">
      <c r="B32" s="54" t="s">
        <v>125</v>
      </c>
      <c r="C32" s="40"/>
      <c r="D32" s="40"/>
      <c r="E32" s="19" t="s">
        <v>236</v>
      </c>
      <c r="F32" s="19" t="s">
        <v>196</v>
      </c>
      <c r="G32" s="10" t="s">
        <v>192</v>
      </c>
      <c r="H32" s="9" t="s">
        <v>94</v>
      </c>
    </row>
    <row r="33" spans="2:8" ht="12.75">
      <c r="B33" s="40" t="s">
        <v>231</v>
      </c>
      <c r="C33" s="40"/>
      <c r="D33" s="40"/>
      <c r="E33" s="41" t="s">
        <v>65</v>
      </c>
      <c r="F33" s="42">
        <f>FxdCost!I28</f>
        <v>2590.80225696</v>
      </c>
      <c r="G33" s="42">
        <v>1</v>
      </c>
      <c r="H33" s="42">
        <f>F33*G33</f>
        <v>2590.80225696</v>
      </c>
    </row>
    <row r="34" spans="2:8" ht="12.75">
      <c r="B34" s="40" t="s">
        <v>167</v>
      </c>
      <c r="C34" s="40"/>
      <c r="D34" s="40"/>
      <c r="E34" s="41" t="s">
        <v>65</v>
      </c>
      <c r="F34" s="42">
        <f>H29</f>
        <v>6609.958500000001</v>
      </c>
      <c r="G34" s="42">
        <v>0.15</v>
      </c>
      <c r="H34" s="42">
        <f>F34*G34</f>
        <v>991.493775</v>
      </c>
    </row>
    <row r="35" spans="2:8" ht="12.75">
      <c r="B35" s="40" t="s">
        <v>153</v>
      </c>
      <c r="C35" s="40"/>
      <c r="D35" s="40"/>
      <c r="E35" s="41" t="s">
        <v>91</v>
      </c>
      <c r="F35" s="41">
        <v>1</v>
      </c>
      <c r="G35" s="42">
        <f>Drip!I40</f>
        <v>1488.942</v>
      </c>
      <c r="H35" s="42">
        <f>F35*G35</f>
        <v>1488.942</v>
      </c>
    </row>
    <row r="36" spans="2:8" ht="13.5" thickBot="1">
      <c r="B36" s="36" t="s">
        <v>223</v>
      </c>
      <c r="C36" s="40"/>
      <c r="D36" s="40"/>
      <c r="E36" s="41"/>
      <c r="F36" s="41"/>
      <c r="G36" s="41"/>
      <c r="H36" s="55">
        <f>SUM(H33:H35)</f>
        <v>5071.23803196</v>
      </c>
    </row>
    <row r="37" spans="2:8" ht="13.5" thickTop="1">
      <c r="B37" s="40"/>
      <c r="C37" s="40"/>
      <c r="D37" s="40"/>
      <c r="E37" s="41"/>
      <c r="F37" s="41"/>
      <c r="G37" s="41"/>
      <c r="H37" s="62"/>
    </row>
    <row r="38" spans="2:8" ht="13.5" thickBot="1">
      <c r="B38" s="15" t="s">
        <v>222</v>
      </c>
      <c r="E38" s="7"/>
      <c r="F38" s="7"/>
      <c r="G38" s="7"/>
      <c r="H38" s="64">
        <f>H29+H36</f>
        <v>11681.19653196</v>
      </c>
    </row>
    <row r="39" ht="13.5" thickTop="1">
      <c r="H39" s="63"/>
    </row>
    <row r="42" ht="12.75">
      <c r="B42" s="1" t="s">
        <v>258</v>
      </c>
    </row>
    <row r="44" ht="12.75">
      <c r="A44" s="1" t="s">
        <v>81</v>
      </c>
    </row>
    <row r="46" ht="12.75"/>
    <row r="47" ht="12.75"/>
    <row r="48" ht="12.75"/>
    <row r="49" ht="12.75"/>
  </sheetData>
  <sheetProtection/>
  <mergeCells count="4">
    <mergeCell ref="A6:I6"/>
    <mergeCell ref="B7:H7"/>
    <mergeCell ref="A2:L2"/>
    <mergeCell ref="A3:L3"/>
  </mergeCells>
  <printOptions/>
  <pageMargins left="0.75" right="0.75" top="1" bottom="1" header="0.5" footer="0.5"/>
  <pageSetup horizontalDpi="600" verticalDpi="600" orientation="portrait" r:id="rId2"/>
  <rowBreaks count="1" manualBreakCount="1">
    <brk id="44" max="255" man="1"/>
  </rowBreaks>
  <drawing r:id="rId1"/>
</worksheet>
</file>

<file path=xl/worksheets/sheet5.xml><?xml version="1.0" encoding="utf-8"?>
<worksheet xmlns="http://schemas.openxmlformats.org/spreadsheetml/2006/main" xmlns:r="http://schemas.openxmlformats.org/officeDocument/2006/relationships">
  <sheetPr>
    <tabColor indexed="24"/>
  </sheetPr>
  <dimension ref="A1:L38"/>
  <sheetViews>
    <sheetView zoomScalePageLayoutView="0" workbookViewId="0" topLeftCell="A1">
      <selection activeCell="G9" sqref="G9"/>
    </sheetView>
  </sheetViews>
  <sheetFormatPr defaultColWidth="9.140625" defaultRowHeight="12.75"/>
  <cols>
    <col min="1" max="1" width="9.140625" style="1" customWidth="1"/>
    <col min="2" max="2" width="33.140625" style="1" customWidth="1"/>
    <col min="3" max="3" width="2.57421875" style="1" customWidth="1"/>
    <col min="4" max="4" width="2.421875" style="1" customWidth="1"/>
    <col min="5" max="5" width="12.7109375" style="1" customWidth="1"/>
    <col min="6" max="6" width="13.421875" style="1" customWidth="1"/>
    <col min="7" max="7" width="12.57421875" style="1" customWidth="1"/>
    <col min="8" max="8" width="14.8515625" style="1" customWidth="1"/>
    <col min="9" max="16384" width="9.140625" style="1" customWidth="1"/>
  </cols>
  <sheetData>
    <row r="1" spans="1:12" ht="20.25">
      <c r="A1" s="205" t="s">
        <v>342</v>
      </c>
      <c r="B1" s="205"/>
      <c r="C1" s="205"/>
      <c r="D1" s="205"/>
      <c r="E1" s="205"/>
      <c r="F1" s="205"/>
      <c r="G1" s="205"/>
      <c r="H1" s="205"/>
      <c r="I1" s="205"/>
      <c r="J1" s="205"/>
      <c r="K1" s="205"/>
      <c r="L1" s="205"/>
    </row>
    <row r="2" spans="1:12" ht="20.25">
      <c r="A2" s="202" t="s">
        <v>338</v>
      </c>
      <c r="B2" s="202"/>
      <c r="C2" s="202"/>
      <c r="D2" s="202"/>
      <c r="E2" s="202"/>
      <c r="F2" s="202"/>
      <c r="G2" s="202"/>
      <c r="H2" s="202"/>
      <c r="I2" s="202"/>
      <c r="J2" s="202"/>
      <c r="K2" s="202"/>
      <c r="L2" s="202"/>
    </row>
    <row r="4" spans="2:8" ht="15.75">
      <c r="B4" s="194" t="s">
        <v>267</v>
      </c>
      <c r="C4" s="206"/>
      <c r="D4" s="206"/>
      <c r="E4" s="206"/>
      <c r="F4" s="206"/>
      <c r="G4" s="206"/>
      <c r="H4" s="206"/>
    </row>
    <row r="5" spans="2:8" ht="15.75">
      <c r="B5" s="194"/>
      <c r="C5" s="206"/>
      <c r="D5" s="206"/>
      <c r="E5" s="206"/>
      <c r="F5" s="206"/>
      <c r="G5" s="206"/>
      <c r="H5" s="206"/>
    </row>
    <row r="7" spans="2:8" ht="12.75">
      <c r="B7" s="15" t="s">
        <v>175</v>
      </c>
      <c r="E7" s="15" t="s">
        <v>236</v>
      </c>
      <c r="F7" s="15" t="s">
        <v>196</v>
      </c>
      <c r="G7" s="26" t="s">
        <v>192</v>
      </c>
      <c r="H7" s="27" t="s">
        <v>94</v>
      </c>
    </row>
    <row r="9" spans="2:8" ht="12.75">
      <c r="B9" s="40" t="s">
        <v>122</v>
      </c>
      <c r="C9" s="40"/>
      <c r="D9" s="40"/>
      <c r="E9" s="41" t="s">
        <v>91</v>
      </c>
      <c r="F9" s="42">
        <v>219</v>
      </c>
      <c r="G9" s="42">
        <f>Yr1!G15</f>
        <v>0.4</v>
      </c>
      <c r="H9" s="42">
        <f aca="true" t="shared" si="0" ref="H9:H23">F9*G9</f>
        <v>87.60000000000001</v>
      </c>
    </row>
    <row r="10" spans="2:8" ht="12.75">
      <c r="B10" s="40" t="s">
        <v>285</v>
      </c>
      <c r="C10" s="40"/>
      <c r="D10" s="40"/>
      <c r="E10" s="41" t="s">
        <v>91</v>
      </c>
      <c r="F10" s="42">
        <v>2</v>
      </c>
      <c r="G10" s="42">
        <f>Bud!H27</f>
        <v>17.25</v>
      </c>
      <c r="H10" s="42">
        <f t="shared" si="0"/>
        <v>34.5</v>
      </c>
    </row>
    <row r="11" spans="2:8" ht="12.75">
      <c r="B11" s="40" t="s">
        <v>286</v>
      </c>
      <c r="C11" s="40"/>
      <c r="D11" s="40"/>
      <c r="E11" s="41" t="s">
        <v>91</v>
      </c>
      <c r="F11" s="42">
        <v>3</v>
      </c>
      <c r="G11" s="42">
        <f>Yr1!G16</f>
        <v>35.16</v>
      </c>
      <c r="H11" s="42">
        <f t="shared" si="0"/>
        <v>105.47999999999999</v>
      </c>
    </row>
    <row r="12" spans="2:8" ht="12.75">
      <c r="B12" s="40" t="s">
        <v>287</v>
      </c>
      <c r="C12" s="40"/>
      <c r="D12" s="40"/>
      <c r="E12" s="41" t="s">
        <v>91</v>
      </c>
      <c r="F12" s="42">
        <v>5</v>
      </c>
      <c r="G12" s="42">
        <f>Yr1!G17</f>
        <v>35.16</v>
      </c>
      <c r="H12" s="42">
        <f t="shared" si="0"/>
        <v>175.79999999999998</v>
      </c>
    </row>
    <row r="13" spans="2:8" ht="12.75">
      <c r="B13" s="40" t="s">
        <v>145</v>
      </c>
      <c r="C13" s="40"/>
      <c r="D13" s="40"/>
      <c r="E13" s="41" t="s">
        <v>91</v>
      </c>
      <c r="F13" s="42">
        <v>4</v>
      </c>
      <c r="G13" s="42">
        <f>Yr1!G18</f>
        <v>13.58</v>
      </c>
      <c r="H13" s="42">
        <f t="shared" si="0"/>
        <v>54.32</v>
      </c>
    </row>
    <row r="14" spans="2:8" ht="12.75">
      <c r="B14" s="40" t="s">
        <v>132</v>
      </c>
      <c r="C14" s="40"/>
      <c r="D14" s="40"/>
      <c r="E14" s="41" t="s">
        <v>91</v>
      </c>
      <c r="F14" s="42">
        <v>5</v>
      </c>
      <c r="G14" s="42">
        <f>Yr1!G19</f>
        <v>16.52</v>
      </c>
      <c r="H14" s="42">
        <f t="shared" si="0"/>
        <v>82.6</v>
      </c>
    </row>
    <row r="15" spans="2:8" ht="12.75">
      <c r="B15" s="40" t="s">
        <v>320</v>
      </c>
      <c r="C15" s="40"/>
      <c r="D15" s="40"/>
      <c r="E15" s="41" t="s">
        <v>232</v>
      </c>
      <c r="F15" s="42">
        <v>5</v>
      </c>
      <c r="G15" s="42">
        <f>Yr1!G20</f>
        <v>17.33</v>
      </c>
      <c r="H15" s="42">
        <f t="shared" si="0"/>
        <v>86.64999999999999</v>
      </c>
    </row>
    <row r="16" spans="2:8" ht="12.75">
      <c r="B16" s="40" t="s">
        <v>288</v>
      </c>
      <c r="C16" s="40"/>
      <c r="D16" s="40"/>
      <c r="E16" s="41" t="s">
        <v>91</v>
      </c>
      <c r="F16" s="42">
        <v>1</v>
      </c>
      <c r="G16" s="42">
        <f>Yr1!G22</f>
        <v>36.75</v>
      </c>
      <c r="H16" s="42">
        <f t="shared" si="0"/>
        <v>36.75</v>
      </c>
    </row>
    <row r="17" spans="2:8" ht="12.75">
      <c r="B17" s="40" t="s">
        <v>289</v>
      </c>
      <c r="C17" s="40"/>
      <c r="D17" s="40"/>
      <c r="E17" s="41" t="s">
        <v>91</v>
      </c>
      <c r="F17" s="42">
        <v>1</v>
      </c>
      <c r="G17" s="42">
        <f>Yr1!G23</f>
        <v>7.14</v>
      </c>
      <c r="H17" s="42">
        <f t="shared" si="0"/>
        <v>7.14</v>
      </c>
    </row>
    <row r="18" spans="2:8" ht="12.75">
      <c r="B18" s="40" t="s">
        <v>281</v>
      </c>
      <c r="C18" s="40"/>
      <c r="D18" s="40"/>
      <c r="E18" s="41" t="s">
        <v>91</v>
      </c>
      <c r="F18" s="42">
        <v>1</v>
      </c>
      <c r="G18" s="42">
        <f>Yr1!G21</f>
        <v>91.01</v>
      </c>
      <c r="H18" s="42">
        <f t="shared" si="0"/>
        <v>91.01</v>
      </c>
    </row>
    <row r="19" spans="2:8" ht="12.75">
      <c r="B19" s="40" t="s">
        <v>157</v>
      </c>
      <c r="C19" s="40"/>
      <c r="D19" s="40"/>
      <c r="E19" s="41" t="s">
        <v>142</v>
      </c>
      <c r="F19" s="42">
        <v>104</v>
      </c>
      <c r="G19" s="42">
        <f>Yr1!G24</f>
        <v>14.68</v>
      </c>
      <c r="H19" s="42">
        <f t="shared" si="0"/>
        <v>1526.72</v>
      </c>
    </row>
    <row r="20" spans="2:8" ht="12.75">
      <c r="B20" s="40" t="s">
        <v>56</v>
      </c>
      <c r="C20" s="40"/>
      <c r="D20" s="40"/>
      <c r="E20" s="41" t="s">
        <v>91</v>
      </c>
      <c r="F20" s="42">
        <v>20</v>
      </c>
      <c r="G20" s="42">
        <f>Yr1!G25</f>
        <v>4</v>
      </c>
      <c r="H20" s="42">
        <f t="shared" si="0"/>
        <v>80</v>
      </c>
    </row>
    <row r="21" spans="2:8" ht="12.75">
      <c r="B21" s="40" t="s">
        <v>62</v>
      </c>
      <c r="C21" s="40"/>
      <c r="D21" s="40"/>
      <c r="E21" s="41" t="s">
        <v>91</v>
      </c>
      <c r="F21" s="42">
        <v>1</v>
      </c>
      <c r="G21" s="42">
        <f>Yr1!G26</f>
        <v>40.32</v>
      </c>
      <c r="H21" s="42">
        <f t="shared" si="0"/>
        <v>40.32</v>
      </c>
    </row>
    <row r="22" spans="2:8" ht="12.75">
      <c r="B22" s="40" t="s">
        <v>292</v>
      </c>
      <c r="C22" s="40"/>
      <c r="D22" s="40"/>
      <c r="E22" s="41" t="s">
        <v>91</v>
      </c>
      <c r="F22" s="42">
        <v>1</v>
      </c>
      <c r="G22" s="42">
        <f>Yr1!G27</f>
        <v>1807.3854999999999</v>
      </c>
      <c r="H22" s="42">
        <f t="shared" si="0"/>
        <v>1807.3854999999999</v>
      </c>
    </row>
    <row r="23" spans="2:8" ht="12.75">
      <c r="B23" s="40" t="s">
        <v>151</v>
      </c>
      <c r="C23" s="40"/>
      <c r="D23" s="40"/>
      <c r="E23" s="41" t="s">
        <v>91</v>
      </c>
      <c r="F23" s="42">
        <f>SUM(H6:H21)</f>
        <v>2408.89</v>
      </c>
      <c r="G23" s="41">
        <v>0.075</v>
      </c>
      <c r="H23" s="42">
        <f t="shared" si="0"/>
        <v>180.66674999999998</v>
      </c>
    </row>
    <row r="24" spans="2:8" ht="13.5" thickBot="1">
      <c r="B24" s="36" t="s">
        <v>282</v>
      </c>
      <c r="C24" s="36"/>
      <c r="D24" s="36"/>
      <c r="E24" s="54" t="s">
        <v>65</v>
      </c>
      <c r="F24" s="55"/>
      <c r="G24" s="56"/>
      <c r="H24" s="55">
        <f>SUM(H9:H23)</f>
        <v>4396.94225</v>
      </c>
    </row>
    <row r="25" spans="3:8" ht="13.5" thickTop="1">
      <c r="C25" s="40"/>
      <c r="D25" s="40"/>
      <c r="E25" s="41"/>
      <c r="F25" s="52"/>
      <c r="G25" s="53"/>
      <c r="H25" s="52"/>
    </row>
    <row r="27" spans="2:8" ht="12.75">
      <c r="B27" s="15" t="s">
        <v>125</v>
      </c>
      <c r="E27" s="15" t="s">
        <v>236</v>
      </c>
      <c r="F27" s="15" t="s">
        <v>196</v>
      </c>
      <c r="G27" s="26" t="s">
        <v>192</v>
      </c>
      <c r="H27" s="27" t="s">
        <v>94</v>
      </c>
    </row>
    <row r="29" spans="2:8" ht="12.75">
      <c r="B29" s="1" t="s">
        <v>231</v>
      </c>
      <c r="E29" s="40" t="s">
        <v>91</v>
      </c>
      <c r="F29" s="17">
        <v>1</v>
      </c>
      <c r="G29" s="17">
        <f>FxdCost!I28</f>
        <v>2590.80225696</v>
      </c>
      <c r="H29" s="17">
        <f>F29*G29</f>
        <v>2590.80225696</v>
      </c>
    </row>
    <row r="30" spans="2:8" ht="12.75">
      <c r="B30" s="1" t="s">
        <v>134</v>
      </c>
      <c r="E30" s="40" t="s">
        <v>91</v>
      </c>
      <c r="F30" s="17">
        <f>H24</f>
        <v>4396.94225</v>
      </c>
      <c r="G30" s="17">
        <v>0.15</v>
      </c>
      <c r="H30" s="17">
        <f>F30*G30</f>
        <v>659.5413374999999</v>
      </c>
    </row>
    <row r="31" spans="2:8" ht="12.75">
      <c r="B31" s="1" t="s">
        <v>153</v>
      </c>
      <c r="E31" s="1" t="s">
        <v>91</v>
      </c>
      <c r="F31" s="17">
        <v>1</v>
      </c>
      <c r="G31" s="17">
        <f>Drip!I40</f>
        <v>1488.942</v>
      </c>
      <c r="H31" s="17">
        <f>F31*G31</f>
        <v>1488.942</v>
      </c>
    </row>
    <row r="32" spans="2:8" ht="13.5" thickBot="1">
      <c r="B32" s="36" t="s">
        <v>296</v>
      </c>
      <c r="H32" s="65">
        <f>SUM(H29:H31)</f>
        <v>4739.28559446</v>
      </c>
    </row>
    <row r="33" ht="13.5" thickTop="1">
      <c r="H33" s="63"/>
    </row>
    <row r="34" spans="2:8" ht="13.5" thickBot="1">
      <c r="B34" s="36" t="s">
        <v>295</v>
      </c>
      <c r="C34" s="36"/>
      <c r="D34" s="36"/>
      <c r="E34" s="36"/>
      <c r="F34" s="36"/>
      <c r="G34" s="36"/>
      <c r="H34" s="66">
        <f>H24+H32</f>
        <v>9136.22784446</v>
      </c>
    </row>
    <row r="35" ht="13.5" thickTop="1">
      <c r="H35" s="63"/>
    </row>
    <row r="37" ht="12.75"/>
    <row r="38" ht="12.75">
      <c r="A38" s="1" t="s">
        <v>81</v>
      </c>
    </row>
    <row r="39" ht="12.75"/>
    <row r="40" ht="12.75"/>
    <row r="41" ht="12.75"/>
    <row r="42" ht="12.75"/>
  </sheetData>
  <sheetProtection/>
  <mergeCells count="4">
    <mergeCell ref="A1:L1"/>
    <mergeCell ref="A2:L2"/>
    <mergeCell ref="B4:H4"/>
    <mergeCell ref="B5:H5"/>
  </mergeCells>
  <printOptions/>
  <pageMargins left="0.75" right="0.75" top="1" bottom="1" header="0.5" footer="0.5"/>
  <pageSetup horizontalDpi="600" verticalDpi="600" orientation="portrait" r:id="rId2"/>
  <rowBreaks count="1" manualBreakCount="1">
    <brk id="38" max="255" man="1"/>
  </rowBreaks>
  <drawing r:id="rId1"/>
</worksheet>
</file>

<file path=xl/worksheets/sheet6.xml><?xml version="1.0" encoding="utf-8"?>
<worksheet xmlns="http://schemas.openxmlformats.org/spreadsheetml/2006/main" xmlns:r="http://schemas.openxmlformats.org/officeDocument/2006/relationships">
  <sheetPr>
    <tabColor indexed="25"/>
  </sheetPr>
  <dimension ref="A2:L62"/>
  <sheetViews>
    <sheetView zoomScalePageLayoutView="0" workbookViewId="0" topLeftCell="A4">
      <selection activeCell="M72" sqref="M72"/>
    </sheetView>
  </sheetViews>
  <sheetFormatPr defaultColWidth="10.57421875" defaultRowHeight="12.75"/>
  <cols>
    <col min="1" max="1" width="10.57421875" style="1" customWidth="1"/>
    <col min="2" max="2" width="27.28125" style="1" customWidth="1"/>
    <col min="3" max="3" width="2.57421875" style="1" customWidth="1"/>
    <col min="4" max="4" width="5.140625" style="1" customWidth="1"/>
    <col min="5" max="5" width="16.8515625" style="1" customWidth="1"/>
    <col min="6" max="6" width="15.421875" style="1" customWidth="1"/>
    <col min="7" max="7" width="16.140625" style="1" customWidth="1"/>
    <col min="8" max="8" width="16.00390625" style="1" customWidth="1"/>
    <col min="9" max="16384" width="10.57421875" style="1" customWidth="1"/>
  </cols>
  <sheetData>
    <row r="2" spans="1:12" ht="20.25">
      <c r="A2" s="202" t="s">
        <v>342</v>
      </c>
      <c r="B2" s="202"/>
      <c r="C2" s="202"/>
      <c r="D2" s="202"/>
      <c r="E2" s="202"/>
      <c r="F2" s="202"/>
      <c r="G2" s="202"/>
      <c r="H2" s="202"/>
      <c r="I2" s="202"/>
      <c r="J2" s="202"/>
      <c r="K2" s="202"/>
      <c r="L2" s="202"/>
    </row>
    <row r="3" spans="1:12" ht="20.25">
      <c r="A3" s="202" t="s">
        <v>338</v>
      </c>
      <c r="B3" s="202"/>
      <c r="C3" s="202"/>
      <c r="D3" s="202"/>
      <c r="E3" s="202"/>
      <c r="F3" s="202"/>
      <c r="G3" s="202"/>
      <c r="H3" s="202"/>
      <c r="I3" s="202"/>
      <c r="J3" s="202"/>
      <c r="K3" s="202"/>
      <c r="L3" s="202"/>
    </row>
    <row r="6" spans="2:8" ht="15.75">
      <c r="B6" s="203" t="s">
        <v>345</v>
      </c>
      <c r="C6" s="206"/>
      <c r="D6" s="206"/>
      <c r="E6" s="206"/>
      <c r="F6" s="206"/>
      <c r="G6" s="206"/>
      <c r="H6" s="206"/>
    </row>
    <row r="7" spans="2:8" ht="15.75">
      <c r="B7" s="194"/>
      <c r="C7" s="206"/>
      <c r="D7" s="206"/>
      <c r="E7" s="206"/>
      <c r="F7" s="206"/>
      <c r="G7" s="206"/>
      <c r="H7" s="206"/>
    </row>
    <row r="9" spans="2:8" ht="12.75">
      <c r="B9" s="54" t="s">
        <v>344</v>
      </c>
      <c r="C9" s="7"/>
      <c r="D9" s="7"/>
      <c r="E9" s="19" t="s">
        <v>236</v>
      </c>
      <c r="F9" s="19" t="s">
        <v>196</v>
      </c>
      <c r="G9" s="10" t="s">
        <v>192</v>
      </c>
      <c r="H9" s="9" t="s">
        <v>94</v>
      </c>
    </row>
    <row r="11" spans="2:8" ht="12.75">
      <c r="B11" s="40" t="s">
        <v>122</v>
      </c>
      <c r="C11" s="40"/>
      <c r="D11" s="40"/>
      <c r="E11" s="41" t="s">
        <v>91</v>
      </c>
      <c r="F11" s="78">
        <v>438</v>
      </c>
      <c r="G11" s="78">
        <f>Yr2!G9</f>
        <v>0.4</v>
      </c>
      <c r="H11" s="78">
        <f aca="true" t="shared" si="0" ref="H11:H25">F11*G11</f>
        <v>175.20000000000002</v>
      </c>
    </row>
    <row r="12" spans="2:8" ht="12.75">
      <c r="B12" s="40" t="s">
        <v>285</v>
      </c>
      <c r="C12" s="40"/>
      <c r="D12" s="40"/>
      <c r="E12" s="41" t="s">
        <v>91</v>
      </c>
      <c r="F12" s="78">
        <v>3</v>
      </c>
      <c r="G12" s="78">
        <f>Yr2!G10</f>
        <v>17.25</v>
      </c>
      <c r="H12" s="78">
        <f t="shared" si="0"/>
        <v>51.75</v>
      </c>
    </row>
    <row r="13" spans="2:8" ht="12.75">
      <c r="B13" s="40" t="s">
        <v>286</v>
      </c>
      <c r="C13" s="40"/>
      <c r="D13" s="40"/>
      <c r="E13" s="41" t="s">
        <v>91</v>
      </c>
      <c r="F13" s="78">
        <v>4</v>
      </c>
      <c r="G13" s="78">
        <f>Yr2!G11</f>
        <v>35.16</v>
      </c>
      <c r="H13" s="78">
        <f t="shared" si="0"/>
        <v>140.64</v>
      </c>
    </row>
    <row r="14" spans="2:8" ht="12.75">
      <c r="B14" s="40" t="s">
        <v>287</v>
      </c>
      <c r="C14" s="40"/>
      <c r="D14" s="40"/>
      <c r="E14" s="41" t="s">
        <v>91</v>
      </c>
      <c r="F14" s="78">
        <v>5</v>
      </c>
      <c r="G14" s="78">
        <f>Yr2!G12</f>
        <v>35.16</v>
      </c>
      <c r="H14" s="78">
        <f t="shared" si="0"/>
        <v>175.79999999999998</v>
      </c>
    </row>
    <row r="15" spans="2:8" ht="12.75">
      <c r="B15" s="40" t="s">
        <v>145</v>
      </c>
      <c r="C15" s="40"/>
      <c r="D15" s="40"/>
      <c r="E15" s="41" t="s">
        <v>91</v>
      </c>
      <c r="F15" s="78">
        <v>6</v>
      </c>
      <c r="G15" s="78">
        <f>Yr2!G13</f>
        <v>13.58</v>
      </c>
      <c r="H15" s="78">
        <f t="shared" si="0"/>
        <v>81.48</v>
      </c>
    </row>
    <row r="16" spans="2:8" ht="12.75">
      <c r="B16" s="40" t="s">
        <v>132</v>
      </c>
      <c r="C16" s="40"/>
      <c r="D16" s="40"/>
      <c r="E16" s="41" t="s">
        <v>91</v>
      </c>
      <c r="F16" s="78">
        <v>7</v>
      </c>
      <c r="G16" s="78">
        <f>Yr2!G14</f>
        <v>16.52</v>
      </c>
      <c r="H16" s="78">
        <f t="shared" si="0"/>
        <v>115.64</v>
      </c>
    </row>
    <row r="17" spans="2:8" ht="12.75">
      <c r="B17" s="40" t="s">
        <v>323</v>
      </c>
      <c r="C17" s="40"/>
      <c r="D17" s="40"/>
      <c r="E17" s="41" t="s">
        <v>232</v>
      </c>
      <c r="F17" s="78">
        <v>5</v>
      </c>
      <c r="G17" s="78">
        <f>Yr2!G15</f>
        <v>17.33</v>
      </c>
      <c r="H17" s="78">
        <f t="shared" si="0"/>
        <v>86.64999999999999</v>
      </c>
    </row>
    <row r="18" spans="2:8" ht="12.75">
      <c r="B18" s="40" t="s">
        <v>288</v>
      </c>
      <c r="C18" s="40"/>
      <c r="D18" s="40"/>
      <c r="E18" s="41" t="s">
        <v>91</v>
      </c>
      <c r="F18" s="78">
        <v>1</v>
      </c>
      <c r="G18" s="78">
        <f>Yr2!G16</f>
        <v>36.75</v>
      </c>
      <c r="H18" s="78">
        <f t="shared" si="0"/>
        <v>36.75</v>
      </c>
    </row>
    <row r="19" spans="2:8" ht="12.75">
      <c r="B19" s="40" t="s">
        <v>289</v>
      </c>
      <c r="C19" s="40"/>
      <c r="D19" s="40"/>
      <c r="E19" s="41" t="s">
        <v>91</v>
      </c>
      <c r="F19" s="78">
        <v>1</v>
      </c>
      <c r="G19" s="78">
        <f>Yr2!G17</f>
        <v>7.14</v>
      </c>
      <c r="H19" s="78">
        <f t="shared" si="0"/>
        <v>7.14</v>
      </c>
    </row>
    <row r="20" spans="2:8" ht="12.75">
      <c r="B20" s="40" t="s">
        <v>281</v>
      </c>
      <c r="C20" s="40"/>
      <c r="D20" s="40"/>
      <c r="E20" s="41" t="s">
        <v>91</v>
      </c>
      <c r="F20" s="78">
        <v>1</v>
      </c>
      <c r="G20" s="78">
        <f>Yr2!G18</f>
        <v>91.01</v>
      </c>
      <c r="H20" s="78">
        <f t="shared" si="0"/>
        <v>91.01</v>
      </c>
    </row>
    <row r="21" spans="2:8" ht="12.75">
      <c r="B21" s="40" t="s">
        <v>157</v>
      </c>
      <c r="C21" s="40"/>
      <c r="D21" s="40"/>
      <c r="E21" s="41" t="s">
        <v>142</v>
      </c>
      <c r="F21" s="78">
        <v>200</v>
      </c>
      <c r="G21" s="78">
        <f>Yr2!G19</f>
        <v>14.68</v>
      </c>
      <c r="H21" s="78">
        <f t="shared" si="0"/>
        <v>2936</v>
      </c>
    </row>
    <row r="22" spans="2:8" ht="12.75">
      <c r="B22" s="40" t="s">
        <v>56</v>
      </c>
      <c r="C22" s="40"/>
      <c r="D22" s="40"/>
      <c r="E22" s="41" t="s">
        <v>341</v>
      </c>
      <c r="F22" s="78">
        <v>30</v>
      </c>
      <c r="G22" s="78">
        <f>Yr2!G20</f>
        <v>4</v>
      </c>
      <c r="H22" s="78">
        <f t="shared" si="0"/>
        <v>120</v>
      </c>
    </row>
    <row r="23" spans="2:8" ht="12.75">
      <c r="B23" s="40" t="s">
        <v>62</v>
      </c>
      <c r="C23" s="40"/>
      <c r="D23" s="40"/>
      <c r="E23" s="41" t="s">
        <v>91</v>
      </c>
      <c r="F23" s="78">
        <v>2</v>
      </c>
      <c r="G23" s="78">
        <f>Yr2!G21</f>
        <v>40.32</v>
      </c>
      <c r="H23" s="78">
        <f t="shared" si="0"/>
        <v>80.64</v>
      </c>
    </row>
    <row r="24" spans="2:8" ht="12.75">
      <c r="B24" s="40" t="s">
        <v>292</v>
      </c>
      <c r="C24" s="40"/>
      <c r="D24" s="40"/>
      <c r="E24" s="41" t="s">
        <v>91</v>
      </c>
      <c r="F24" s="78">
        <v>1</v>
      </c>
      <c r="G24" s="78">
        <f>Yr2!G22</f>
        <v>1807.3854999999999</v>
      </c>
      <c r="H24" s="78">
        <f t="shared" si="0"/>
        <v>1807.3854999999999</v>
      </c>
    </row>
    <row r="25" spans="2:8" ht="12.75">
      <c r="B25" s="40" t="s">
        <v>151</v>
      </c>
      <c r="C25" s="40"/>
      <c r="D25" s="40"/>
      <c r="E25" s="41"/>
      <c r="F25" s="78">
        <f>SUM(H9:H23)</f>
        <v>4098.7</v>
      </c>
      <c r="G25" s="79">
        <v>0.075</v>
      </c>
      <c r="H25" s="78">
        <f t="shared" si="0"/>
        <v>307.4025</v>
      </c>
    </row>
    <row r="26" spans="2:8" ht="13.5" thickBot="1">
      <c r="B26" s="36" t="s">
        <v>282</v>
      </c>
      <c r="C26" s="36"/>
      <c r="D26" s="36"/>
      <c r="E26" s="54"/>
      <c r="F26" s="57"/>
      <c r="G26" s="80"/>
      <c r="H26" s="57">
        <f>SUM(H11:H25)</f>
        <v>6213.487999999999</v>
      </c>
    </row>
    <row r="27" spans="3:8" ht="13.5" thickTop="1">
      <c r="C27" s="40"/>
      <c r="D27" s="40"/>
      <c r="E27" s="41"/>
      <c r="F27" s="52"/>
      <c r="G27" s="53"/>
      <c r="H27" s="52"/>
    </row>
    <row r="29" spans="2:8" ht="12.75">
      <c r="B29" s="19" t="s">
        <v>125</v>
      </c>
      <c r="C29" s="7"/>
      <c r="D29" s="7"/>
      <c r="E29" s="19" t="s">
        <v>236</v>
      </c>
      <c r="F29" s="19" t="s">
        <v>196</v>
      </c>
      <c r="G29" s="10" t="s">
        <v>192</v>
      </c>
      <c r="H29" s="9" t="s">
        <v>94</v>
      </c>
    </row>
    <row r="30" spans="5:7" ht="12.75">
      <c r="E30" s="7"/>
      <c r="F30" s="18"/>
      <c r="G30" s="18"/>
    </row>
    <row r="31" spans="2:8" ht="12.75">
      <c r="B31" s="1" t="s">
        <v>231</v>
      </c>
      <c r="E31" s="41" t="s">
        <v>91</v>
      </c>
      <c r="F31" s="32">
        <v>1</v>
      </c>
      <c r="G31" s="32">
        <f>+FxdCost!I28</f>
        <v>2590.80225696</v>
      </c>
      <c r="H31" s="17">
        <f>F31*G31</f>
        <v>2590.80225696</v>
      </c>
    </row>
    <row r="32" spans="2:8" ht="12.75">
      <c r="B32" s="1" t="s">
        <v>134</v>
      </c>
      <c r="E32" s="41" t="s">
        <v>91</v>
      </c>
      <c r="F32" s="32">
        <f>H26</f>
        <v>6213.487999999999</v>
      </c>
      <c r="G32" s="32">
        <v>0.15</v>
      </c>
      <c r="H32" s="17">
        <f>F32*G32</f>
        <v>932.0231999999999</v>
      </c>
    </row>
    <row r="33" spans="2:8" ht="12.75">
      <c r="B33" s="1" t="s">
        <v>153</v>
      </c>
      <c r="E33" s="7" t="s">
        <v>91</v>
      </c>
      <c r="F33" s="32">
        <v>1</v>
      </c>
      <c r="G33" s="32">
        <f>+Drip!I40</f>
        <v>1488.942</v>
      </c>
      <c r="H33" s="17">
        <f>F33*G33</f>
        <v>1488.942</v>
      </c>
    </row>
    <row r="34" spans="2:8" ht="13.5" thickBot="1">
      <c r="B34" s="36" t="s">
        <v>294</v>
      </c>
      <c r="E34" s="41" t="s">
        <v>65</v>
      </c>
      <c r="H34" s="65">
        <f>SUM(H31:H33)</f>
        <v>5011.767456959999</v>
      </c>
    </row>
    <row r="35" spans="5:8" ht="13.5" thickTop="1">
      <c r="E35" s="7"/>
      <c r="H35" s="63"/>
    </row>
    <row r="36" spans="2:8" ht="13.5" thickBot="1">
      <c r="B36" s="36" t="s">
        <v>300</v>
      </c>
      <c r="C36" s="36"/>
      <c r="D36" s="36"/>
      <c r="E36" s="54" t="s">
        <v>65</v>
      </c>
      <c r="F36" s="36"/>
      <c r="G36" s="36"/>
      <c r="H36" s="66">
        <f>H26+H34</f>
        <v>11225.25545696</v>
      </c>
    </row>
    <row r="37" ht="13.5" thickTop="1">
      <c r="H37" s="63"/>
    </row>
    <row r="41" spans="6:8" ht="12.75">
      <c r="F41" s="17"/>
      <c r="G41" s="12"/>
      <c r="H41" s="12"/>
    </row>
    <row r="42" spans="6:8" ht="12.75">
      <c r="F42" s="17"/>
      <c r="G42" s="12"/>
      <c r="H42" s="12"/>
    </row>
    <row r="43" spans="6:8" ht="12.75">
      <c r="F43" s="17"/>
      <c r="G43" s="12"/>
      <c r="H43" s="12"/>
    </row>
    <row r="44" spans="6:8" ht="12.75">
      <c r="F44" s="17"/>
      <c r="G44" s="12"/>
      <c r="H44" s="12"/>
    </row>
    <row r="46" spans="2:8" ht="15.75">
      <c r="B46" s="194" t="s">
        <v>304</v>
      </c>
      <c r="C46" s="206"/>
      <c r="D46" s="206"/>
      <c r="E46" s="206"/>
      <c r="F46" s="206"/>
      <c r="G46" s="206"/>
      <c r="H46" s="206"/>
    </row>
    <row r="48" ht="12.75">
      <c r="E48" s="1" t="s">
        <v>305</v>
      </c>
    </row>
    <row r="49" ht="12.75">
      <c r="E49" s="1" t="s">
        <v>306</v>
      </c>
    </row>
    <row r="50" spans="2:8" ht="12.75">
      <c r="B50" s="1" t="s">
        <v>307</v>
      </c>
      <c r="E50" s="1">
        <v>7</v>
      </c>
      <c r="F50" s="17">
        <f>(1+D50)^E50</f>
        <v>1</v>
      </c>
      <c r="G50" s="12">
        <f>'[1]Yr1'!H67</f>
        <v>0</v>
      </c>
      <c r="H50" s="12">
        <f aca="true" t="shared" si="1" ref="H50:H56">F50*G50</f>
        <v>0</v>
      </c>
    </row>
    <row r="51" spans="1:8" ht="12.75">
      <c r="A51" s="1" t="s">
        <v>81</v>
      </c>
      <c r="E51" s="1">
        <v>6</v>
      </c>
      <c r="F51" s="17">
        <f>(1+D50)^E51</f>
        <v>1</v>
      </c>
      <c r="G51" s="12">
        <f>'[1]Yr2'!H48</f>
        <v>0</v>
      </c>
      <c r="H51" s="12">
        <f t="shared" si="1"/>
        <v>0</v>
      </c>
    </row>
    <row r="52" spans="5:8" ht="12.75">
      <c r="E52" s="1">
        <v>5</v>
      </c>
      <c r="F52" s="17">
        <f>(1+D50)^E52</f>
        <v>1</v>
      </c>
      <c r="G52" s="12">
        <f>'[1]Yr2'!H48</f>
        <v>0</v>
      </c>
      <c r="H52" s="12">
        <f t="shared" si="1"/>
        <v>0</v>
      </c>
    </row>
    <row r="53" spans="5:8" ht="12.75">
      <c r="E53" s="1">
        <v>4</v>
      </c>
      <c r="F53" s="17">
        <f>(1+D50)^E53</f>
        <v>1</v>
      </c>
      <c r="G53" s="12">
        <v>0</v>
      </c>
      <c r="H53" s="12">
        <f t="shared" si="1"/>
        <v>0</v>
      </c>
    </row>
    <row r="54" spans="5:8" ht="12.75">
      <c r="E54" s="1">
        <v>3</v>
      </c>
      <c r="F54" s="17">
        <f>(1+D50)^E54</f>
        <v>1</v>
      </c>
      <c r="G54" s="12">
        <f>+H36</f>
        <v>11225.25545696</v>
      </c>
      <c r="H54" s="12">
        <f t="shared" si="1"/>
        <v>11225.25545696</v>
      </c>
    </row>
    <row r="55" spans="5:8" ht="12.75">
      <c r="E55" s="1">
        <v>2</v>
      </c>
      <c r="F55" s="17">
        <f>(1+D50)^E55</f>
        <v>1</v>
      </c>
      <c r="G55" s="12">
        <f>+Yr2!H34</f>
        <v>9136.22784446</v>
      </c>
      <c r="H55" s="12">
        <f t="shared" si="1"/>
        <v>9136.22784446</v>
      </c>
    </row>
    <row r="56" spans="5:8" ht="12.75">
      <c r="E56" s="1">
        <v>1</v>
      </c>
      <c r="F56" s="17">
        <f>(1+D50)^E56</f>
        <v>1</v>
      </c>
      <c r="G56" s="12">
        <f>+Yr1!H38</f>
        <v>11681.19653196</v>
      </c>
      <c r="H56" s="12">
        <f t="shared" si="1"/>
        <v>11681.19653196</v>
      </c>
    </row>
    <row r="57" spans="2:8" ht="13.5" thickBot="1">
      <c r="B57" s="15" t="s">
        <v>308</v>
      </c>
      <c r="H57" s="96">
        <f>SUM(H50:H56)</f>
        <v>32042.679833379996</v>
      </c>
    </row>
    <row r="58" spans="2:8" ht="13.5" thickTop="1">
      <c r="B58" s="1" t="s">
        <v>309</v>
      </c>
      <c r="H58" s="63"/>
    </row>
    <row r="59" spans="2:6" ht="12.75">
      <c r="B59" s="1" t="s">
        <v>310</v>
      </c>
      <c r="F59" s="1">
        <v>50</v>
      </c>
    </row>
    <row r="60" spans="2:6" ht="12.75">
      <c r="B60" s="1" t="s">
        <v>311</v>
      </c>
      <c r="F60" s="1">
        <v>0.09</v>
      </c>
    </row>
    <row r="61" spans="2:8" ht="13.5" thickBot="1">
      <c r="B61" s="15" t="s">
        <v>312</v>
      </c>
      <c r="E61" s="1" t="s">
        <v>313</v>
      </c>
      <c r="H61" s="96">
        <f>PMT(F60,F59,-H57)</f>
        <v>2923.15332617287</v>
      </c>
    </row>
    <row r="62" ht="13.5" thickTop="1">
      <c r="H62" s="63"/>
    </row>
    <row r="65" ht="12.75"/>
    <row r="66" ht="12.75"/>
    <row r="67" ht="12.75"/>
    <row r="68" ht="12.75"/>
  </sheetData>
  <sheetProtection/>
  <mergeCells count="5">
    <mergeCell ref="B6:H6"/>
    <mergeCell ref="B7:H7"/>
    <mergeCell ref="B46:H46"/>
    <mergeCell ref="A2:L2"/>
    <mergeCell ref="A3:L3"/>
  </mergeCells>
  <printOptions/>
  <pageMargins left="0.75" right="0.75" top="1" bottom="1" header="0.5" footer="0.5"/>
  <pageSetup horizontalDpi="600" verticalDpi="600" orientation="portrait" r:id="rId2"/>
  <rowBreaks count="1" manualBreakCount="1">
    <brk id="51" max="255" man="1"/>
  </rowBreaks>
  <drawing r:id="rId1"/>
</worksheet>
</file>

<file path=xl/worksheets/sheet7.xml><?xml version="1.0" encoding="utf-8"?>
<worksheet xmlns="http://schemas.openxmlformats.org/spreadsheetml/2006/main" xmlns:r="http://schemas.openxmlformats.org/officeDocument/2006/relationships">
  <sheetPr>
    <tabColor indexed="13"/>
  </sheetPr>
  <dimension ref="A1:L56"/>
  <sheetViews>
    <sheetView zoomScalePageLayoutView="0" workbookViewId="0" topLeftCell="A1">
      <selection activeCell="I39" sqref="I39"/>
    </sheetView>
  </sheetViews>
  <sheetFormatPr defaultColWidth="9.140625" defaultRowHeight="12.75"/>
  <cols>
    <col min="1" max="1" width="4.8515625" style="1" customWidth="1"/>
    <col min="2" max="2" width="14.00390625" style="1" customWidth="1"/>
    <col min="3" max="3" width="9.140625" style="1" customWidth="1"/>
    <col min="4" max="4" width="12.28125" style="1" customWidth="1"/>
    <col min="5" max="5" width="14.7109375" style="1" customWidth="1"/>
    <col min="6" max="6" width="13.421875" style="1" customWidth="1"/>
    <col min="7" max="7" width="16.00390625" style="1" customWidth="1"/>
    <col min="8" max="8" width="16.8515625" style="1" customWidth="1"/>
    <col min="9" max="9" width="20.57421875" style="1" customWidth="1"/>
    <col min="10" max="16384" width="9.140625" style="1" customWidth="1"/>
  </cols>
  <sheetData>
    <row r="1" spans="1:12" ht="20.25">
      <c r="A1" s="205" t="s">
        <v>342</v>
      </c>
      <c r="B1" s="205"/>
      <c r="C1" s="205"/>
      <c r="D1" s="205"/>
      <c r="E1" s="205"/>
      <c r="F1" s="205"/>
      <c r="G1" s="205"/>
      <c r="H1" s="205"/>
      <c r="I1" s="205"/>
      <c r="J1" s="205"/>
      <c r="K1" s="205"/>
      <c r="L1" s="205"/>
    </row>
    <row r="2" spans="1:12" ht="20.25">
      <c r="A2" s="205" t="s">
        <v>338</v>
      </c>
      <c r="B2" s="205"/>
      <c r="C2" s="205"/>
      <c r="D2" s="205"/>
      <c r="E2" s="205"/>
      <c r="F2" s="205"/>
      <c r="G2" s="205"/>
      <c r="H2" s="205"/>
      <c r="I2" s="205"/>
      <c r="J2" s="205"/>
      <c r="K2" s="205"/>
      <c r="L2" s="205"/>
    </row>
    <row r="4" spans="3:8" ht="15.75">
      <c r="C4" s="207" t="s">
        <v>298</v>
      </c>
      <c r="D4" s="196"/>
      <c r="E4" s="196"/>
      <c r="F4" s="196"/>
      <c r="G4" s="196"/>
      <c r="H4" s="196"/>
    </row>
    <row r="7" spans="2:9" ht="12.75">
      <c r="B7" s="10" t="s">
        <v>155</v>
      </c>
      <c r="D7" s="26" t="s">
        <v>235</v>
      </c>
      <c r="E7" s="28" t="s">
        <v>197</v>
      </c>
      <c r="G7" s="28" t="s">
        <v>191</v>
      </c>
      <c r="I7" s="28" t="s">
        <v>95</v>
      </c>
    </row>
    <row r="8" spans="7:9" ht="12.75">
      <c r="G8" s="18"/>
      <c r="I8" s="18"/>
    </row>
    <row r="9" spans="2:9" ht="12.75">
      <c r="B9" s="36" t="s">
        <v>138</v>
      </c>
      <c r="D9" s="1" t="s">
        <v>100</v>
      </c>
      <c r="E9" s="1">
        <v>1</v>
      </c>
      <c r="G9" s="29">
        <v>0</v>
      </c>
      <c r="I9" s="29">
        <f>E9*G9</f>
        <v>0</v>
      </c>
    </row>
    <row r="10" spans="2:9" ht="12.75">
      <c r="B10" s="40" t="s">
        <v>259</v>
      </c>
      <c r="D10" s="40" t="s">
        <v>91</v>
      </c>
      <c r="E10" s="1">
        <v>1</v>
      </c>
      <c r="G10" s="29">
        <v>0</v>
      </c>
      <c r="I10" s="29">
        <f>E10*G10</f>
        <v>0</v>
      </c>
    </row>
    <row r="11" spans="2:9" ht="12.75">
      <c r="B11" s="40" t="s">
        <v>321</v>
      </c>
      <c r="D11" s="40" t="s">
        <v>91</v>
      </c>
      <c r="E11" s="1">
        <v>1</v>
      </c>
      <c r="G11" s="29">
        <v>0</v>
      </c>
      <c r="I11" s="29">
        <f>E11*G11</f>
        <v>0</v>
      </c>
    </row>
    <row r="12" spans="2:9" ht="13.5" thickBot="1">
      <c r="B12" s="36" t="s">
        <v>260</v>
      </c>
      <c r="C12" s="36"/>
      <c r="D12" s="36"/>
      <c r="E12" s="36"/>
      <c r="F12" s="36"/>
      <c r="G12" s="48">
        <v>0</v>
      </c>
      <c r="H12" s="36"/>
      <c r="I12" s="85">
        <f>SUM(I9:I11)</f>
        <v>0</v>
      </c>
    </row>
    <row r="13" spans="7:9" ht="13.5" thickTop="1">
      <c r="G13" s="29"/>
      <c r="I13" s="84"/>
    </row>
    <row r="14" spans="2:9" ht="12.75">
      <c r="B14" s="36" t="s">
        <v>145</v>
      </c>
      <c r="D14" s="1" t="s">
        <v>100</v>
      </c>
      <c r="E14" s="1">
        <v>1</v>
      </c>
      <c r="G14" s="29">
        <v>0</v>
      </c>
      <c r="I14" s="29">
        <v>0</v>
      </c>
    </row>
    <row r="15" spans="2:9" ht="12.75">
      <c r="B15" s="1" t="s">
        <v>144</v>
      </c>
      <c r="D15" s="1" t="s">
        <v>100</v>
      </c>
      <c r="E15" s="1">
        <v>1</v>
      </c>
      <c r="G15" s="29">
        <v>0</v>
      </c>
      <c r="I15" s="29"/>
    </row>
    <row r="16" spans="2:9" ht="12.75">
      <c r="B16" s="1" t="s">
        <v>144</v>
      </c>
      <c r="D16" s="1" t="s">
        <v>100</v>
      </c>
      <c r="E16" s="1">
        <v>1</v>
      </c>
      <c r="G16" s="29">
        <v>0</v>
      </c>
      <c r="I16" s="29">
        <f>E16*G16</f>
        <v>0</v>
      </c>
    </row>
    <row r="17" spans="2:9" ht="12.75">
      <c r="B17" s="1" t="s">
        <v>144</v>
      </c>
      <c r="D17" s="1" t="s">
        <v>100</v>
      </c>
      <c r="E17" s="1">
        <v>1</v>
      </c>
      <c r="G17" s="29">
        <v>0</v>
      </c>
      <c r="I17" s="29">
        <f>E17*G17</f>
        <v>0</v>
      </c>
    </row>
    <row r="18" spans="2:9" ht="12.75">
      <c r="B18" s="1" t="s">
        <v>144</v>
      </c>
      <c r="D18" s="1" t="s">
        <v>100</v>
      </c>
      <c r="E18" s="1">
        <v>1</v>
      </c>
      <c r="G18" s="29">
        <v>0</v>
      </c>
      <c r="I18" s="29">
        <f>E18*G18</f>
        <v>0</v>
      </c>
    </row>
    <row r="19" spans="2:9" ht="13.5" thickBot="1">
      <c r="B19" s="36" t="s">
        <v>217</v>
      </c>
      <c r="C19" s="36"/>
      <c r="D19" s="36"/>
      <c r="E19" s="36"/>
      <c r="F19" s="36"/>
      <c r="G19" s="48"/>
      <c r="H19" s="36"/>
      <c r="I19" s="85">
        <f>SUM(I14:I18)</f>
        <v>0</v>
      </c>
    </row>
    <row r="20" spans="7:9" ht="13.5" thickTop="1">
      <c r="G20" s="29"/>
      <c r="I20" s="84"/>
    </row>
    <row r="21" spans="2:9" ht="12.75">
      <c r="B21" s="36" t="s">
        <v>324</v>
      </c>
      <c r="D21" s="1" t="s">
        <v>100</v>
      </c>
      <c r="E21" s="1">
        <v>1</v>
      </c>
      <c r="G21" s="29">
        <v>0</v>
      </c>
      <c r="I21" s="29">
        <f aca="true" t="shared" si="0" ref="I21:I26">E21*G21</f>
        <v>0</v>
      </c>
    </row>
    <row r="22" spans="2:9" ht="12.75">
      <c r="B22" s="1" t="s">
        <v>131</v>
      </c>
      <c r="D22" s="1" t="s">
        <v>100</v>
      </c>
      <c r="E22" s="1">
        <v>1</v>
      </c>
      <c r="G22" s="29">
        <v>0</v>
      </c>
      <c r="I22" s="29">
        <f t="shared" si="0"/>
        <v>0</v>
      </c>
    </row>
    <row r="23" spans="2:9" ht="12.75">
      <c r="B23" s="1" t="s">
        <v>131</v>
      </c>
      <c r="D23" s="1" t="s">
        <v>100</v>
      </c>
      <c r="E23" s="1">
        <v>1</v>
      </c>
      <c r="G23" s="29">
        <v>0</v>
      </c>
      <c r="I23" s="29">
        <f t="shared" si="0"/>
        <v>0</v>
      </c>
    </row>
    <row r="24" spans="2:9" ht="12.75">
      <c r="B24" s="1" t="s">
        <v>131</v>
      </c>
      <c r="D24" s="1" t="s">
        <v>100</v>
      </c>
      <c r="E24" s="1">
        <v>1</v>
      </c>
      <c r="G24" s="29">
        <v>0</v>
      </c>
      <c r="I24" s="29">
        <f t="shared" si="0"/>
        <v>0</v>
      </c>
    </row>
    <row r="25" spans="2:9" ht="12.75">
      <c r="B25" s="1" t="s">
        <v>131</v>
      </c>
      <c r="D25" s="1" t="s">
        <v>100</v>
      </c>
      <c r="E25" s="1">
        <v>1</v>
      </c>
      <c r="G25" s="29">
        <v>0</v>
      </c>
      <c r="I25" s="29">
        <f t="shared" si="0"/>
        <v>0</v>
      </c>
    </row>
    <row r="26" spans="2:9" ht="12.75">
      <c r="B26" s="1" t="s">
        <v>131</v>
      </c>
      <c r="D26" s="1" t="s">
        <v>100</v>
      </c>
      <c r="E26" s="1">
        <v>1</v>
      </c>
      <c r="G26" s="29">
        <v>0</v>
      </c>
      <c r="I26" s="29">
        <f t="shared" si="0"/>
        <v>0</v>
      </c>
    </row>
    <row r="27" spans="2:9" ht="13.5" thickBot="1">
      <c r="B27" s="36" t="s">
        <v>217</v>
      </c>
      <c r="G27" s="29"/>
      <c r="I27" s="85">
        <f>SUM(I21:I26)</f>
        <v>0</v>
      </c>
    </row>
    <row r="28" spans="7:9" ht="13.5" thickTop="1">
      <c r="G28" s="29"/>
      <c r="I28" s="84"/>
    </row>
    <row r="29" spans="2:9" ht="12.75">
      <c r="B29" s="1" t="s">
        <v>177</v>
      </c>
      <c r="D29" s="1" t="s">
        <v>100</v>
      </c>
      <c r="E29" s="1">
        <v>1</v>
      </c>
      <c r="G29" s="29">
        <v>0</v>
      </c>
      <c r="I29" s="29">
        <f>E29*G29</f>
        <v>0</v>
      </c>
    </row>
    <row r="30" spans="2:9" ht="12.75">
      <c r="B30" s="1" t="s">
        <v>177</v>
      </c>
      <c r="D30" s="1" t="s">
        <v>100</v>
      </c>
      <c r="E30" s="1">
        <v>1</v>
      </c>
      <c r="G30" s="29">
        <v>0</v>
      </c>
      <c r="I30" s="29">
        <f>E30*G30</f>
        <v>0</v>
      </c>
    </row>
    <row r="31" spans="2:9" ht="12.75">
      <c r="B31" s="1" t="s">
        <v>177</v>
      </c>
      <c r="D31" s="1" t="s">
        <v>100</v>
      </c>
      <c r="E31" s="1">
        <v>1</v>
      </c>
      <c r="G31" s="29">
        <v>0</v>
      </c>
      <c r="I31" s="29">
        <f>E31*G31</f>
        <v>0</v>
      </c>
    </row>
    <row r="32" spans="2:9" ht="12.75">
      <c r="B32" s="1" t="s">
        <v>177</v>
      </c>
      <c r="D32" s="1" t="s">
        <v>100</v>
      </c>
      <c r="E32" s="1">
        <v>1</v>
      </c>
      <c r="G32" s="29">
        <v>0</v>
      </c>
      <c r="I32" s="29">
        <f>E32*G32</f>
        <v>0</v>
      </c>
    </row>
    <row r="33" spans="2:9" ht="12.75">
      <c r="B33" s="36" t="s">
        <v>260</v>
      </c>
      <c r="C33" s="36"/>
      <c r="D33" s="36"/>
      <c r="E33" s="36"/>
      <c r="F33" s="36"/>
      <c r="G33" s="48"/>
      <c r="H33" s="36"/>
      <c r="I33" s="48">
        <v>0</v>
      </c>
    </row>
    <row r="34" spans="2:9" ht="13.5" thickBot="1">
      <c r="B34" s="37" t="s">
        <v>261</v>
      </c>
      <c r="G34" s="29"/>
      <c r="I34" s="83">
        <f>I12+I19+I27+I33</f>
        <v>0</v>
      </c>
    </row>
    <row r="35" ht="13.5" thickTop="1">
      <c r="I35" s="82"/>
    </row>
    <row r="36" spans="1:9" ht="12.75">
      <c r="A36" s="1" t="s">
        <v>81</v>
      </c>
      <c r="I36" s="30"/>
    </row>
    <row r="37" ht="12.75">
      <c r="I37" s="30"/>
    </row>
    <row r="38" ht="12.75">
      <c r="I38" s="30"/>
    </row>
    <row r="39" spans="1:10" ht="12.75">
      <c r="A39" s="93"/>
      <c r="B39" s="93"/>
      <c r="C39" s="93"/>
      <c r="D39" s="93"/>
      <c r="E39" s="93"/>
      <c r="F39" s="93"/>
      <c r="G39" s="93"/>
      <c r="H39" s="93"/>
      <c r="I39" s="94"/>
      <c r="J39" s="93"/>
    </row>
    <row r="40" spans="9:11" ht="12.75">
      <c r="I40" s="30"/>
      <c r="K40" s="92"/>
    </row>
    <row r="41" spans="2:11" ht="12.75">
      <c r="B41" s="90"/>
      <c r="C41" s="90"/>
      <c r="D41" s="90"/>
      <c r="E41" s="90"/>
      <c r="F41" s="90"/>
      <c r="G41" s="90"/>
      <c r="H41" s="90"/>
      <c r="I41" s="90"/>
      <c r="J41" s="91"/>
      <c r="K41" s="92"/>
    </row>
    <row r="42" spans="9:11" ht="12.75">
      <c r="I42" s="30"/>
      <c r="K42" s="92"/>
    </row>
    <row r="43" spans="1:10" ht="12.75">
      <c r="A43" s="63"/>
      <c r="B43" s="63"/>
      <c r="C43" s="63"/>
      <c r="D43" s="63"/>
      <c r="E43" s="63"/>
      <c r="F43" s="63"/>
      <c r="G43" s="63"/>
      <c r="H43" s="63"/>
      <c r="I43" s="82"/>
      <c r="J43" s="63"/>
    </row>
    <row r="44" ht="12.75">
      <c r="I44" s="30"/>
    </row>
    <row r="45" ht="12.75">
      <c r="I45" s="30"/>
    </row>
    <row r="46" ht="12.75">
      <c r="I46" s="30"/>
    </row>
    <row r="47" ht="12.75">
      <c r="I47" s="30"/>
    </row>
    <row r="48" ht="12.75">
      <c r="I48" s="30"/>
    </row>
    <row r="49" ht="12.75">
      <c r="I49" s="30"/>
    </row>
    <row r="50" ht="12.75">
      <c r="I50" s="30"/>
    </row>
    <row r="51" ht="12.75">
      <c r="I51" s="30"/>
    </row>
    <row r="52" ht="12.75">
      <c r="I52" s="30"/>
    </row>
    <row r="53" ht="12.75">
      <c r="I53" s="30"/>
    </row>
    <row r="54" ht="12.75">
      <c r="I54" s="30"/>
    </row>
    <row r="55" ht="12.75">
      <c r="I55" s="30"/>
    </row>
    <row r="56" ht="12.75">
      <c r="I56" s="30"/>
    </row>
  </sheetData>
  <sheetProtection/>
  <mergeCells count="3">
    <mergeCell ref="C4:H4"/>
    <mergeCell ref="A1:L1"/>
    <mergeCell ref="A2:L2"/>
  </mergeCells>
  <printOptions/>
  <pageMargins left="0.75" right="0.75" top="1" bottom="1" header="0.5" footer="0.5"/>
  <pageSetup horizontalDpi="600" verticalDpi="600" orientation="portrait" r:id="rId2"/>
  <rowBreaks count="1" manualBreakCount="1">
    <brk id="36" max="255" man="1"/>
  </rowBreaks>
  <drawing r:id="rId1"/>
</worksheet>
</file>

<file path=xl/worksheets/sheet8.xml><?xml version="1.0" encoding="utf-8"?>
<worksheet xmlns="http://schemas.openxmlformats.org/spreadsheetml/2006/main" xmlns:r="http://schemas.openxmlformats.org/officeDocument/2006/relationships">
  <sheetPr>
    <tabColor indexed="26"/>
  </sheetPr>
  <dimension ref="A1:M56"/>
  <sheetViews>
    <sheetView zoomScalePageLayoutView="0" workbookViewId="0" topLeftCell="A1">
      <selection activeCell="M38" sqref="M38"/>
    </sheetView>
  </sheetViews>
  <sheetFormatPr defaultColWidth="9.140625" defaultRowHeight="12.75"/>
  <cols>
    <col min="1" max="1" width="4.140625" style="1" customWidth="1"/>
    <col min="2" max="2" width="9.140625" style="1" customWidth="1"/>
    <col min="3" max="3" width="7.00390625" style="1" customWidth="1"/>
    <col min="4" max="4" width="6.57421875" style="1" customWidth="1"/>
    <col min="5" max="5" width="8.7109375" style="1" customWidth="1"/>
    <col min="6" max="6" width="8.00390625" style="1" customWidth="1"/>
    <col min="7" max="7" width="6.421875" style="1" customWidth="1"/>
    <col min="8" max="8" width="8.140625" style="1" customWidth="1"/>
    <col min="9" max="9" width="8.8515625" style="1" customWidth="1"/>
    <col min="10" max="10" width="8.421875" style="1" customWidth="1"/>
    <col min="11" max="11" width="7.57421875" style="1" customWidth="1"/>
    <col min="12" max="12" width="5.28125" style="1" customWidth="1"/>
    <col min="13" max="16384" width="9.140625" style="1" customWidth="1"/>
  </cols>
  <sheetData>
    <row r="1" spans="2:13" ht="20.25">
      <c r="B1" s="205" t="s">
        <v>342</v>
      </c>
      <c r="C1" s="205"/>
      <c r="D1" s="205"/>
      <c r="E1" s="205"/>
      <c r="F1" s="205"/>
      <c r="G1" s="205"/>
      <c r="H1" s="205"/>
      <c r="I1" s="205"/>
      <c r="J1" s="205"/>
      <c r="K1" s="205"/>
      <c r="L1" s="205"/>
      <c r="M1" s="205"/>
    </row>
    <row r="2" spans="2:13" ht="20.25">
      <c r="B2" s="205" t="s">
        <v>338</v>
      </c>
      <c r="C2" s="205"/>
      <c r="D2" s="205"/>
      <c r="E2" s="205"/>
      <c r="F2" s="205"/>
      <c r="G2" s="205"/>
      <c r="H2" s="205"/>
      <c r="I2" s="205"/>
      <c r="J2" s="205"/>
      <c r="K2" s="205"/>
      <c r="L2" s="205"/>
      <c r="M2" s="205"/>
    </row>
    <row r="4" spans="2:11" ht="15.75">
      <c r="B4" s="170" t="s">
        <v>356</v>
      </c>
      <c r="D4" s="8"/>
      <c r="E4" s="8"/>
      <c r="F4" s="8"/>
      <c r="G4" s="8"/>
      <c r="H4" s="8"/>
      <c r="I4" s="8"/>
      <c r="J4" s="8"/>
      <c r="K4" s="8"/>
    </row>
    <row r="5" spans="3:11" ht="15.75">
      <c r="C5" s="77"/>
      <c r="E5" s="10"/>
      <c r="F5" s="10"/>
      <c r="G5" s="10"/>
      <c r="H5" s="10"/>
      <c r="I5" s="10"/>
      <c r="J5" s="10"/>
      <c r="K5" s="10"/>
    </row>
    <row r="6" spans="4:11" ht="12.75">
      <c r="D6" s="8"/>
      <c r="E6" s="8"/>
      <c r="F6" s="8"/>
      <c r="G6" s="8"/>
      <c r="H6" s="8"/>
      <c r="I6" s="8"/>
      <c r="J6" s="8"/>
      <c r="K6" s="8"/>
    </row>
    <row r="7" spans="4:11" ht="12.75">
      <c r="D7" s="8" t="s">
        <v>118</v>
      </c>
      <c r="E7" s="8" t="s">
        <v>123</v>
      </c>
      <c r="F7" s="6" t="s">
        <v>123</v>
      </c>
      <c r="G7" s="8" t="s">
        <v>92</v>
      </c>
      <c r="H7" s="8" t="s">
        <v>174</v>
      </c>
      <c r="I7" s="8" t="s">
        <v>130</v>
      </c>
      <c r="J7" s="8" t="s">
        <v>165</v>
      </c>
      <c r="K7" s="8" t="s">
        <v>157</v>
      </c>
    </row>
    <row r="8" spans="4:11" ht="12.75">
      <c r="D8" s="8" t="s">
        <v>243</v>
      </c>
      <c r="E8" s="8" t="s">
        <v>207</v>
      </c>
      <c r="F8" s="6" t="s">
        <v>116</v>
      </c>
      <c r="G8" s="8" t="s">
        <v>182</v>
      </c>
      <c r="H8" s="8" t="s">
        <v>215</v>
      </c>
      <c r="I8" s="8" t="s">
        <v>237</v>
      </c>
      <c r="J8" s="8" t="s">
        <v>199</v>
      </c>
      <c r="K8" s="8" t="s">
        <v>237</v>
      </c>
    </row>
    <row r="9" spans="2:11" ht="12.75">
      <c r="B9" s="1" t="s">
        <v>59</v>
      </c>
      <c r="D9" s="8" t="s">
        <v>70</v>
      </c>
      <c r="E9" s="8" t="s">
        <v>73</v>
      </c>
      <c r="F9" s="6" t="s">
        <v>67</v>
      </c>
      <c r="G9" s="8" t="s">
        <v>140</v>
      </c>
      <c r="H9" s="8" t="s">
        <v>178</v>
      </c>
      <c r="I9" s="8" t="s">
        <v>71</v>
      </c>
      <c r="J9" s="8" t="s">
        <v>68</v>
      </c>
      <c r="K9" s="8" t="s">
        <v>72</v>
      </c>
    </row>
    <row r="10" spans="4:11" ht="12.75">
      <c r="D10" s="8"/>
      <c r="E10" s="8"/>
      <c r="F10" s="8"/>
      <c r="G10" s="8"/>
      <c r="H10" s="8"/>
      <c r="I10" s="8"/>
      <c r="J10" s="8"/>
      <c r="K10" s="8"/>
    </row>
    <row r="11" spans="2:11" ht="12.75">
      <c r="B11" s="15" t="s">
        <v>187</v>
      </c>
      <c r="D11" s="8"/>
      <c r="E11" s="8"/>
      <c r="F11" s="8"/>
      <c r="G11" s="8"/>
      <c r="H11" s="8"/>
      <c r="I11" s="8"/>
      <c r="J11" s="8"/>
      <c r="K11" s="8"/>
    </row>
    <row r="12" spans="2:11" ht="12.75">
      <c r="B12" s="1" t="s">
        <v>64</v>
      </c>
      <c r="D12" s="8"/>
      <c r="E12" s="8"/>
      <c r="F12" s="8"/>
      <c r="G12" s="8" t="s">
        <v>0</v>
      </c>
      <c r="H12" s="6" t="s">
        <v>0</v>
      </c>
      <c r="I12" s="8"/>
      <c r="J12" s="8" t="s">
        <v>0</v>
      </c>
      <c r="K12" s="8" t="s">
        <v>0</v>
      </c>
    </row>
    <row r="13" spans="2:11" ht="12.75">
      <c r="B13" s="1" t="s">
        <v>9</v>
      </c>
      <c r="D13" s="8">
        <v>20</v>
      </c>
      <c r="E13" s="8">
        <v>3</v>
      </c>
      <c r="F13" s="6">
        <v>70</v>
      </c>
      <c r="G13" s="8">
        <f>(D13*E13*(F13/100))/8.25</f>
        <v>5.090909090909091</v>
      </c>
      <c r="H13" s="6">
        <v>4</v>
      </c>
      <c r="I13" s="8">
        <f>(H13*(1/G13))*0.05*75</f>
        <v>2.946428571428571</v>
      </c>
      <c r="J13" s="8">
        <f>(H52+H43)*(1/G13*H13)</f>
        <v>0</v>
      </c>
      <c r="K13" s="8">
        <f>H13*(1/G13)*1.2</f>
        <v>0.9428571428571428</v>
      </c>
    </row>
    <row r="14" spans="2:11" ht="12.75">
      <c r="B14" s="1" t="s">
        <v>8</v>
      </c>
      <c r="D14" s="8">
        <v>40</v>
      </c>
      <c r="E14" s="8">
        <v>2.5</v>
      </c>
      <c r="F14" s="6">
        <v>65</v>
      </c>
      <c r="G14" s="8">
        <f>(D14*E14*(F14/100))/8.25</f>
        <v>7.878787878787879</v>
      </c>
      <c r="H14" s="6">
        <v>12</v>
      </c>
      <c r="I14" s="8">
        <f>(H14*(1/G14))*0.05*325</f>
        <v>24.75</v>
      </c>
      <c r="J14" s="8">
        <f>(H53+H44)*(1/G14*H14)</f>
        <v>0</v>
      </c>
      <c r="K14" s="8">
        <f>H14*(1/G14)*1.2</f>
        <v>1.8276923076923075</v>
      </c>
    </row>
    <row r="15" spans="2:11" ht="12.75">
      <c r="B15" s="1" t="s">
        <v>63</v>
      </c>
      <c r="D15" s="8">
        <v>15</v>
      </c>
      <c r="E15" s="8">
        <v>6</v>
      </c>
      <c r="F15" s="6">
        <v>95</v>
      </c>
      <c r="G15" s="8">
        <f>(D15*E15*(F15/100))/8.25</f>
        <v>10.363636363636363</v>
      </c>
      <c r="H15" s="6">
        <v>5</v>
      </c>
      <c r="I15" s="8">
        <f>(H15*(1/G15))*0.05*125</f>
        <v>3.0153508771929833</v>
      </c>
      <c r="J15" s="8">
        <f>(H53+H45)*(1/G15*H15)</f>
        <v>0</v>
      </c>
      <c r="K15" s="8">
        <f>H15*(1/G15)*1.2</f>
        <v>0.5789473684210527</v>
      </c>
    </row>
    <row r="17" spans="2:12" ht="12.75">
      <c r="B17" s="26" t="s">
        <v>229</v>
      </c>
      <c r="D17" s="8"/>
      <c r="F17" s="8"/>
      <c r="G17" s="8"/>
      <c r="H17" s="8"/>
      <c r="I17" s="10">
        <f>SUM(I12:I15)</f>
        <v>30.711779448621552</v>
      </c>
      <c r="J17" s="10">
        <f>SUM(J12:J15)</f>
        <v>0</v>
      </c>
      <c r="K17" s="10">
        <f>SUM(K12:K15)</f>
        <v>3.3494968189705028</v>
      </c>
      <c r="L17" s="26">
        <f>SUM(I17:K17)</f>
        <v>34.061276267592056</v>
      </c>
    </row>
    <row r="18" spans="2:11" ht="12.75">
      <c r="B18" s="17"/>
      <c r="D18" s="8"/>
      <c r="E18" s="8"/>
      <c r="F18" s="8"/>
      <c r="G18" s="8"/>
      <c r="H18" s="8"/>
      <c r="I18" s="8"/>
      <c r="J18" s="8"/>
      <c r="K18" s="8"/>
    </row>
    <row r="19" spans="2:11" ht="12.75">
      <c r="B19" s="26" t="s">
        <v>135</v>
      </c>
      <c r="D19" s="8"/>
      <c r="E19" s="8"/>
      <c r="F19" s="8"/>
      <c r="G19" s="8"/>
      <c r="H19" s="8"/>
      <c r="I19" s="8"/>
      <c r="J19" s="8"/>
      <c r="K19" s="8"/>
    </row>
    <row r="20" spans="2:11" ht="12.75">
      <c r="B20" s="44" t="s">
        <v>297</v>
      </c>
      <c r="D20" s="6">
        <v>40</v>
      </c>
      <c r="E20" s="8">
        <v>1</v>
      </c>
      <c r="F20" s="6">
        <v>90</v>
      </c>
      <c r="G20" s="8">
        <f>(D20*E20*(F20/100))/8.25</f>
        <v>4.363636363636363</v>
      </c>
      <c r="H20" s="6">
        <v>4</v>
      </c>
      <c r="I20" s="8">
        <f>(H20*(1/G20))*0.05*90</f>
        <v>4.125</v>
      </c>
      <c r="J20" s="8">
        <f>(H58+H54)*(1/G20*H20)</f>
        <v>0</v>
      </c>
      <c r="K20" s="8">
        <f>H20*(1/G20)*1.2</f>
        <v>1.1</v>
      </c>
    </row>
    <row r="21" spans="2:11" ht="12.75">
      <c r="B21" s="40" t="s">
        <v>233</v>
      </c>
      <c r="D21" s="7">
        <v>10</v>
      </c>
      <c r="E21" s="8">
        <v>3</v>
      </c>
      <c r="F21" s="7">
        <v>90</v>
      </c>
      <c r="G21" s="8">
        <f>(D21*E21*(F21/100))/8.25</f>
        <v>3.272727272727273</v>
      </c>
      <c r="H21" s="6">
        <v>3</v>
      </c>
      <c r="I21" s="8">
        <f>(H21*(1/G21))*0.05*75</f>
        <v>3.4374999999999996</v>
      </c>
      <c r="J21" s="8">
        <f>(H48+H52)*(1/G21*H21)</f>
        <v>0</v>
      </c>
      <c r="K21" s="8">
        <f>H21*(1/G21)*1.2</f>
        <v>1.0999999999999999</v>
      </c>
    </row>
    <row r="22" spans="2:11" ht="12.75">
      <c r="B22" s="40" t="s">
        <v>297</v>
      </c>
      <c r="D22" s="7">
        <v>10</v>
      </c>
      <c r="E22" s="8">
        <v>2</v>
      </c>
      <c r="F22" s="7">
        <v>80</v>
      </c>
      <c r="G22" s="8">
        <v>7</v>
      </c>
      <c r="H22" s="6">
        <v>3</v>
      </c>
      <c r="I22" s="8">
        <f>(H22*(1/G22))*0.05*125</f>
        <v>2.6785714285714284</v>
      </c>
      <c r="J22" s="8">
        <f>(H49+H53)*(1/G22*H22)</f>
        <v>0</v>
      </c>
      <c r="K22" s="8">
        <f>H22*(1/G22)*1.2</f>
        <v>0.5142857142857142</v>
      </c>
    </row>
    <row r="23" spans="2:11" ht="12.75">
      <c r="B23" s="1" t="s">
        <v>57</v>
      </c>
      <c r="H23" s="6"/>
      <c r="I23" s="8">
        <v>5</v>
      </c>
      <c r="J23" s="8">
        <v>0.5</v>
      </c>
      <c r="K23" s="8">
        <v>1</v>
      </c>
    </row>
    <row r="24" spans="2:12" ht="12.75">
      <c r="B24" s="26" t="s">
        <v>225</v>
      </c>
      <c r="I24" s="10">
        <f>SUM(I20:I23)</f>
        <v>15.241071428571429</v>
      </c>
      <c r="J24" s="10">
        <f>SUM(J20:J23)</f>
        <v>0.5</v>
      </c>
      <c r="K24" s="10">
        <f>SUM(K20:K23)</f>
        <v>3.7142857142857144</v>
      </c>
      <c r="L24" s="26">
        <f>SUM(I24:K24)</f>
        <v>19.455357142857142</v>
      </c>
    </row>
    <row r="28" ht="12.75"/>
    <row r="29" ht="12.75"/>
    <row r="30" ht="12.75"/>
    <row r="31" ht="12.75"/>
    <row r="32" ht="12.75"/>
    <row r="33" ht="12.75">
      <c r="A33" s="1" t="s">
        <v>81</v>
      </c>
    </row>
    <row r="40" spans="4:9" ht="12.75">
      <c r="D40" s="8"/>
      <c r="E40" s="8"/>
      <c r="F40" s="8"/>
      <c r="G40" s="8"/>
      <c r="H40" s="8"/>
      <c r="I40" s="8"/>
    </row>
    <row r="41" spans="4:9" ht="12.75">
      <c r="D41" s="8"/>
      <c r="E41" s="8"/>
      <c r="F41" s="8"/>
      <c r="G41" s="8"/>
      <c r="H41" s="8"/>
      <c r="I41" s="8"/>
    </row>
    <row r="42" spans="4:9" ht="12.75">
      <c r="D42" s="8"/>
      <c r="E42" s="12"/>
      <c r="F42" s="6"/>
      <c r="G42" s="8"/>
      <c r="H42" s="8"/>
      <c r="I42" s="8"/>
    </row>
    <row r="43" spans="4:9" ht="12.75">
      <c r="D43" s="8"/>
      <c r="E43" s="12"/>
      <c r="F43" s="6"/>
      <c r="G43" s="8"/>
      <c r="H43" s="8"/>
      <c r="I43" s="8"/>
    </row>
    <row r="44" spans="4:9" ht="12.75">
      <c r="D44" s="8"/>
      <c r="E44" s="6"/>
      <c r="F44" s="6"/>
      <c r="G44" s="8"/>
      <c r="H44" s="8"/>
      <c r="I44" s="8"/>
    </row>
    <row r="45" spans="4:9" ht="12.75">
      <c r="D45" s="8"/>
      <c r="E45" s="6"/>
      <c r="F45" s="6"/>
      <c r="G45" s="8"/>
      <c r="H45" s="8"/>
      <c r="I45" s="8"/>
    </row>
    <row r="46" spans="5:9" ht="12.75">
      <c r="E46" s="12"/>
      <c r="F46" s="6"/>
      <c r="G46" s="7"/>
      <c r="H46" s="8"/>
      <c r="I46" s="8"/>
    </row>
    <row r="47" spans="5:9" ht="12.75">
      <c r="E47" s="12"/>
      <c r="F47" s="7"/>
      <c r="G47" s="7"/>
      <c r="H47" s="8"/>
      <c r="I47" s="8"/>
    </row>
    <row r="48" spans="5:9" ht="12.75">
      <c r="E48" s="12"/>
      <c r="F48" s="7"/>
      <c r="G48" s="7"/>
      <c r="H48" s="8"/>
      <c r="I48" s="8"/>
    </row>
    <row r="49" spans="5:9" ht="12.75">
      <c r="E49" s="12"/>
      <c r="F49" s="7"/>
      <c r="G49" s="7"/>
      <c r="H49" s="8"/>
      <c r="I49" s="8"/>
    </row>
    <row r="50" spans="5:9" ht="12.75">
      <c r="E50" s="12"/>
      <c r="F50" s="7"/>
      <c r="G50" s="7"/>
      <c r="H50" s="8"/>
      <c r="I50" s="8"/>
    </row>
    <row r="51" spans="4:9" ht="12.75">
      <c r="D51" s="8"/>
      <c r="E51" s="6"/>
      <c r="F51" s="6"/>
      <c r="G51" s="8"/>
      <c r="H51" s="8"/>
      <c r="I51" s="8"/>
    </row>
    <row r="52" spans="4:9" ht="12.75">
      <c r="D52" s="8"/>
      <c r="E52" s="6"/>
      <c r="F52" s="6"/>
      <c r="G52" s="8"/>
      <c r="H52" s="8"/>
      <c r="I52" s="8"/>
    </row>
    <row r="53" spans="4:9" ht="12.75">
      <c r="D53" s="8"/>
      <c r="E53" s="6"/>
      <c r="F53" s="6"/>
      <c r="G53" s="8"/>
      <c r="H53" s="8"/>
      <c r="I53" s="8"/>
    </row>
    <row r="54" spans="5:9" ht="12.75">
      <c r="E54" s="6"/>
      <c r="F54" s="7"/>
      <c r="G54" s="8"/>
      <c r="H54" s="8"/>
      <c r="I54" s="8"/>
    </row>
    <row r="55" spans="5:6" ht="12.75">
      <c r="E55" s="12"/>
      <c r="F55" s="7"/>
    </row>
    <row r="56" ht="12.75">
      <c r="F56" s="7"/>
    </row>
  </sheetData>
  <sheetProtection/>
  <mergeCells count="2">
    <mergeCell ref="B1:M1"/>
    <mergeCell ref="B2:M2"/>
  </mergeCells>
  <printOptions/>
  <pageMargins left="0.75" right="0.75" top="1" bottom="1" header="0.5" footer="0.5"/>
  <pageSetup orientation="portrait" paperSize="9"/>
  <rowBreaks count="1" manualBreakCount="1">
    <brk id="33" max="255" man="1"/>
  </rowBreaks>
  <drawing r:id="rId1"/>
</worksheet>
</file>

<file path=xl/worksheets/sheet9.xml><?xml version="1.0" encoding="utf-8"?>
<worksheet xmlns="http://schemas.openxmlformats.org/spreadsheetml/2006/main" xmlns:r="http://schemas.openxmlformats.org/officeDocument/2006/relationships">
  <sheetPr>
    <tabColor indexed="12"/>
  </sheetPr>
  <dimension ref="A1:L37"/>
  <sheetViews>
    <sheetView zoomScalePageLayoutView="0" workbookViewId="0" topLeftCell="A1">
      <selection activeCell="J35" sqref="J35"/>
    </sheetView>
  </sheetViews>
  <sheetFormatPr defaultColWidth="9.140625" defaultRowHeight="12.75"/>
  <cols>
    <col min="1" max="1" width="1.421875" style="1" customWidth="1"/>
    <col min="2" max="2" width="32.57421875" style="1" customWidth="1"/>
    <col min="3" max="3" width="6.7109375" style="1" customWidth="1"/>
    <col min="4" max="4" width="8.28125" style="1" customWidth="1"/>
    <col min="5" max="5" width="9.8515625" style="1" customWidth="1"/>
    <col min="6" max="6" width="6.421875" style="1" customWidth="1"/>
    <col min="7" max="7" width="4.8515625" style="1" customWidth="1"/>
    <col min="8" max="8" width="9.140625" style="1" customWidth="1"/>
    <col min="9" max="9" width="9.7109375" style="1" customWidth="1"/>
    <col min="10" max="10" width="7.8515625" style="1" customWidth="1"/>
    <col min="11" max="11" width="6.8515625" style="17" customWidth="1"/>
    <col min="12" max="16384" width="9.140625" style="1" customWidth="1"/>
  </cols>
  <sheetData>
    <row r="1" spans="1:12" ht="20.25">
      <c r="A1" s="205" t="s">
        <v>342</v>
      </c>
      <c r="B1" s="205"/>
      <c r="C1" s="205"/>
      <c r="D1" s="205"/>
      <c r="E1" s="205"/>
      <c r="F1" s="205"/>
      <c r="G1" s="205"/>
      <c r="H1" s="205"/>
      <c r="I1" s="205"/>
      <c r="J1" s="205"/>
      <c r="K1" s="205"/>
      <c r="L1" s="205"/>
    </row>
    <row r="2" spans="1:12" ht="20.25">
      <c r="A2" s="205" t="s">
        <v>338</v>
      </c>
      <c r="B2" s="205"/>
      <c r="C2" s="205"/>
      <c r="D2" s="205"/>
      <c r="E2" s="205"/>
      <c r="F2" s="205"/>
      <c r="G2" s="205"/>
      <c r="H2" s="205"/>
      <c r="I2" s="205"/>
      <c r="J2" s="205"/>
      <c r="K2" s="205"/>
      <c r="L2" s="205"/>
    </row>
    <row r="4" spans="2:3" ht="15">
      <c r="B4" s="76"/>
      <c r="C4" s="60"/>
    </row>
    <row r="5" ht="15.75">
      <c r="D5" s="59"/>
    </row>
    <row r="6" spans="2:11" ht="15.75">
      <c r="B6" s="207" t="s">
        <v>336</v>
      </c>
      <c r="C6" s="204"/>
      <c r="D6" s="204"/>
      <c r="E6" s="204"/>
      <c r="F6" s="204"/>
      <c r="G6" s="204"/>
      <c r="H6" s="204"/>
      <c r="I6" s="204"/>
      <c r="J6" s="204"/>
      <c r="K6" s="204"/>
    </row>
    <row r="8" spans="2:5" ht="12.75">
      <c r="B8" s="1" t="s">
        <v>92</v>
      </c>
      <c r="C8" s="12">
        <v>5</v>
      </c>
      <c r="D8" s="37"/>
      <c r="E8" s="12" t="s">
        <v>0</v>
      </c>
    </row>
    <row r="9" spans="2:5" ht="12.75">
      <c r="B9" s="1" t="s">
        <v>147</v>
      </c>
      <c r="C9" s="31">
        <v>0.09</v>
      </c>
      <c r="D9" s="37"/>
      <c r="E9" s="12" t="s">
        <v>0</v>
      </c>
    </row>
    <row r="10" spans="4:11" ht="12.75">
      <c r="D10" s="37" t="s">
        <v>333</v>
      </c>
      <c r="E10" s="86" t="s">
        <v>193</v>
      </c>
      <c r="F10" s="37" t="s">
        <v>205</v>
      </c>
      <c r="G10" s="81" t="s">
        <v>248</v>
      </c>
      <c r="H10" s="87"/>
      <c r="I10" s="87"/>
      <c r="J10" s="87"/>
      <c r="K10" s="81"/>
    </row>
    <row r="11" spans="2:11" ht="12.75">
      <c r="B11" s="37" t="s">
        <v>58</v>
      </c>
      <c r="D11" s="37" t="s">
        <v>332</v>
      </c>
      <c r="E11" s="86" t="s">
        <v>191</v>
      </c>
      <c r="F11" s="37" t="s">
        <v>238</v>
      </c>
      <c r="G11" s="81" t="s">
        <v>162</v>
      </c>
      <c r="H11" s="81" t="s">
        <v>112</v>
      </c>
      <c r="I11" s="37" t="s">
        <v>146</v>
      </c>
      <c r="J11" s="81" t="s">
        <v>209</v>
      </c>
      <c r="K11" s="81" t="s">
        <v>121</v>
      </c>
    </row>
    <row r="12" spans="5:11" ht="12.75">
      <c r="E12" s="18"/>
      <c r="F12" s="18"/>
      <c r="G12" s="18"/>
      <c r="H12" s="18"/>
      <c r="I12" s="18"/>
      <c r="J12" s="18"/>
      <c r="K12" s="32"/>
    </row>
    <row r="13" spans="2:11" ht="12.75">
      <c r="B13" s="38" t="s">
        <v>264</v>
      </c>
      <c r="C13" s="40"/>
      <c r="D13" s="43">
        <v>0.5</v>
      </c>
      <c r="E13" s="46">
        <v>6800</v>
      </c>
      <c r="F13" s="46">
        <f aca="true" t="shared" si="0" ref="F13:F19">E13*0.2</f>
        <v>1360</v>
      </c>
      <c r="G13" s="46">
        <v>10</v>
      </c>
      <c r="H13" s="46">
        <f aca="true" t="shared" si="1" ref="H13:H18">(E13-F13)/G13*D13</f>
        <v>272</v>
      </c>
      <c r="I13" s="46">
        <f aca="true" t="shared" si="2" ref="I13:I18">(E13+F13)/2*C$9*D13</f>
        <v>183.6</v>
      </c>
      <c r="J13" s="46">
        <f aca="true" t="shared" si="3" ref="J13:J18">(E13+F13)/2*0.014*D13</f>
        <v>28.560000000000002</v>
      </c>
      <c r="K13" s="45">
        <f aca="true" t="shared" si="4" ref="K13:K18">(H13+I13+J13)/$C$8</f>
        <v>96.83200000000001</v>
      </c>
    </row>
    <row r="14" spans="2:11" ht="12.75">
      <c r="B14" s="38" t="s">
        <v>263</v>
      </c>
      <c r="C14" s="40"/>
      <c r="D14" s="43">
        <v>0.5</v>
      </c>
      <c r="E14" s="46">
        <f>17845*1.171+17845</f>
        <v>38741.494999999995</v>
      </c>
      <c r="F14" s="46">
        <f t="shared" si="0"/>
        <v>7748.298999999999</v>
      </c>
      <c r="G14" s="46">
        <v>10</v>
      </c>
      <c r="H14" s="46">
        <f t="shared" si="1"/>
        <v>1549.6598</v>
      </c>
      <c r="I14" s="46">
        <f t="shared" si="2"/>
        <v>1046.0203649999999</v>
      </c>
      <c r="J14" s="46">
        <f t="shared" si="3"/>
        <v>162.71427899999998</v>
      </c>
      <c r="K14" s="45">
        <f t="shared" si="4"/>
        <v>551.6788887999999</v>
      </c>
    </row>
    <row r="15" spans="2:11" ht="12.75">
      <c r="B15" s="38" t="s">
        <v>262</v>
      </c>
      <c r="C15" s="40"/>
      <c r="D15" s="43">
        <v>0.5</v>
      </c>
      <c r="E15" s="46">
        <f>4760*1.171+4760</f>
        <v>10333.96</v>
      </c>
      <c r="F15" s="46">
        <f t="shared" si="0"/>
        <v>2066.792</v>
      </c>
      <c r="G15" s="46">
        <v>10</v>
      </c>
      <c r="H15" s="46">
        <f t="shared" si="1"/>
        <v>413.35839999999996</v>
      </c>
      <c r="I15" s="46">
        <f t="shared" si="2"/>
        <v>279.01691999999997</v>
      </c>
      <c r="J15" s="46">
        <f t="shared" si="3"/>
        <v>43.402632</v>
      </c>
      <c r="K15" s="45">
        <f t="shared" si="4"/>
        <v>147.1555904</v>
      </c>
    </row>
    <row r="16" spans="2:11" ht="12.75">
      <c r="B16" s="38" t="s">
        <v>115</v>
      </c>
      <c r="C16" s="40"/>
      <c r="D16" s="43">
        <v>0.5</v>
      </c>
      <c r="E16" s="46">
        <f>2379*1.171+2379</f>
        <v>5164.809</v>
      </c>
      <c r="F16" s="46">
        <f t="shared" si="0"/>
        <v>1032.9618</v>
      </c>
      <c r="G16" s="46">
        <v>10</v>
      </c>
      <c r="H16" s="46">
        <f t="shared" si="1"/>
        <v>206.59236</v>
      </c>
      <c r="I16" s="46">
        <f t="shared" si="2"/>
        <v>139.449843</v>
      </c>
      <c r="J16" s="46">
        <f t="shared" si="3"/>
        <v>21.692197800000002</v>
      </c>
      <c r="K16" s="45">
        <f t="shared" si="4"/>
        <v>73.54688016</v>
      </c>
    </row>
    <row r="17" spans="2:11" ht="12.75">
      <c r="B17" s="39" t="s">
        <v>346</v>
      </c>
      <c r="C17" s="44"/>
      <c r="D17" s="43">
        <v>0.5</v>
      </c>
      <c r="E17" s="46">
        <v>95000</v>
      </c>
      <c r="F17" s="46">
        <f t="shared" si="0"/>
        <v>19000</v>
      </c>
      <c r="G17" s="46">
        <v>20</v>
      </c>
      <c r="H17" s="46">
        <f t="shared" si="1"/>
        <v>1900</v>
      </c>
      <c r="I17" s="46">
        <f t="shared" si="2"/>
        <v>2565</v>
      </c>
      <c r="J17" s="46">
        <f t="shared" si="3"/>
        <v>399</v>
      </c>
      <c r="K17" s="45">
        <f t="shared" si="4"/>
        <v>972.8</v>
      </c>
    </row>
    <row r="18" spans="2:11" ht="12.75">
      <c r="B18" s="39" t="s">
        <v>266</v>
      </c>
      <c r="C18" s="44"/>
      <c r="D18" s="43">
        <v>0.5</v>
      </c>
      <c r="E18" s="46">
        <v>50000</v>
      </c>
      <c r="F18" s="46">
        <f t="shared" si="0"/>
        <v>10000</v>
      </c>
      <c r="G18" s="46">
        <v>10</v>
      </c>
      <c r="H18" s="46">
        <f t="shared" si="1"/>
        <v>2000</v>
      </c>
      <c r="I18" s="46">
        <f t="shared" si="2"/>
        <v>1350</v>
      </c>
      <c r="J18" s="46">
        <f t="shared" si="3"/>
        <v>210</v>
      </c>
      <c r="K18" s="45">
        <f t="shared" si="4"/>
        <v>712</v>
      </c>
    </row>
    <row r="19" spans="2:11" ht="12.75">
      <c r="B19" s="44" t="s">
        <v>265</v>
      </c>
      <c r="C19" s="17"/>
      <c r="D19" s="88">
        <v>0.5</v>
      </c>
      <c r="E19" s="49">
        <f>1190*1.171+1190</f>
        <v>2583.49</v>
      </c>
      <c r="F19" s="49">
        <f t="shared" si="0"/>
        <v>516.698</v>
      </c>
      <c r="G19" s="50">
        <v>10</v>
      </c>
      <c r="H19" s="50">
        <f>(E19-F19)/G19*D19</f>
        <v>103.33959999999999</v>
      </c>
      <c r="I19" s="50">
        <f>(E19+F19)/2*C$9*D19</f>
        <v>69.75422999999999</v>
      </c>
      <c r="J19" s="50">
        <f>(E19+F19)/2*0.014*D19</f>
        <v>10.850658</v>
      </c>
      <c r="K19" s="50">
        <f>(H19+I19+J19)/$C$8</f>
        <v>36.7888976</v>
      </c>
    </row>
    <row r="20" spans="2:11" ht="12.75">
      <c r="B20" s="17"/>
      <c r="C20" s="17"/>
      <c r="D20" s="7"/>
      <c r="E20" s="49"/>
      <c r="F20" s="49"/>
      <c r="G20" s="50"/>
      <c r="H20" s="50"/>
      <c r="I20" s="50"/>
      <c r="J20" s="50"/>
      <c r="K20" s="50"/>
    </row>
    <row r="21" spans="2:11" ht="13.5" thickBot="1">
      <c r="B21" s="26" t="s">
        <v>227</v>
      </c>
      <c r="D21" s="7"/>
      <c r="E21" s="67">
        <f>SUM(E13:E20)</f>
        <v>208623.754</v>
      </c>
      <c r="F21" s="68">
        <f>SUM(F13:F20)</f>
        <v>41724.750799999994</v>
      </c>
      <c r="G21" s="51"/>
      <c r="H21" s="70">
        <f>SUM(H13:H20)</f>
        <v>6444.95016</v>
      </c>
      <c r="I21" s="70">
        <f>SUM(I13:I20)</f>
        <v>5632.841357999999</v>
      </c>
      <c r="J21" s="70">
        <f>SUM(J13:J20)</f>
        <v>876.2197667999999</v>
      </c>
      <c r="K21" s="70">
        <f>SUM(K13:K20)</f>
        <v>2590.80225696</v>
      </c>
    </row>
    <row r="22" spans="4:11" ht="13.5" thickTop="1">
      <c r="D22" s="7"/>
      <c r="E22" s="61"/>
      <c r="F22" s="61"/>
      <c r="G22" s="7"/>
      <c r="H22" s="61"/>
      <c r="I22" s="61"/>
      <c r="J22" s="61"/>
      <c r="K22" s="69"/>
    </row>
    <row r="23" spans="4:11" ht="12.75">
      <c r="D23" s="7"/>
      <c r="E23" s="7"/>
      <c r="F23" s="7"/>
      <c r="G23" s="7"/>
      <c r="H23" s="7"/>
      <c r="I23" s="6">
        <f>H21</f>
        <v>6444.95016</v>
      </c>
      <c r="J23" s="7"/>
      <c r="K23" s="8"/>
    </row>
    <row r="24" spans="4:11" ht="12.75">
      <c r="D24" s="7"/>
      <c r="E24" s="7"/>
      <c r="F24" s="7"/>
      <c r="G24" s="7"/>
      <c r="H24" s="7"/>
      <c r="I24" s="6">
        <f>I21</f>
        <v>5632.841357999999</v>
      </c>
      <c r="J24" s="7"/>
      <c r="K24" s="8"/>
    </row>
    <row r="25" spans="4:11" ht="12.75">
      <c r="D25" s="7"/>
      <c r="E25" s="7"/>
      <c r="F25" s="7"/>
      <c r="G25" s="7"/>
      <c r="H25" s="7"/>
      <c r="I25" s="6">
        <f>J21</f>
        <v>876.2197667999999</v>
      </c>
      <c r="J25" s="7"/>
      <c r="K25" s="8"/>
    </row>
    <row r="26" spans="4:11" ht="12.75">
      <c r="D26" s="7"/>
      <c r="E26" s="7"/>
      <c r="F26" s="7"/>
      <c r="G26" s="7"/>
      <c r="H26" s="7"/>
      <c r="I26" s="6"/>
      <c r="J26" s="7"/>
      <c r="K26" s="8"/>
    </row>
    <row r="27" spans="2:11" ht="12.75">
      <c r="B27" s="26" t="s">
        <v>224</v>
      </c>
      <c r="D27" s="7"/>
      <c r="E27" s="7"/>
      <c r="F27" s="7"/>
      <c r="G27" s="7"/>
      <c r="H27" s="7"/>
      <c r="I27" s="72">
        <f>SUM(I23:I26)</f>
        <v>12954.011284799999</v>
      </c>
      <c r="J27" s="7"/>
      <c r="K27" s="8"/>
    </row>
    <row r="28" spans="2:11" ht="13.5" thickBot="1">
      <c r="B28" s="26" t="s">
        <v>127</v>
      </c>
      <c r="D28" s="7"/>
      <c r="E28" s="7"/>
      <c r="F28" s="7"/>
      <c r="G28" s="7"/>
      <c r="H28" s="7"/>
      <c r="I28" s="73">
        <f>I27/C8</f>
        <v>2590.80225696</v>
      </c>
      <c r="J28" s="7"/>
      <c r="K28" s="8"/>
    </row>
    <row r="29" spans="4:11" ht="13.5" thickTop="1">
      <c r="D29" s="7"/>
      <c r="E29" s="7"/>
      <c r="F29" s="7"/>
      <c r="G29" s="7"/>
      <c r="H29" s="7"/>
      <c r="I29" s="61"/>
      <c r="J29" s="7"/>
      <c r="K29" s="8"/>
    </row>
    <row r="30" spans="4:11" ht="12.75">
      <c r="D30" s="7"/>
      <c r="E30" s="7"/>
      <c r="F30" s="7"/>
      <c r="G30" s="7"/>
      <c r="H30" s="7"/>
      <c r="I30" s="7"/>
      <c r="J30" s="7"/>
      <c r="K30" s="8"/>
    </row>
    <row r="31" spans="2:11" ht="12.75">
      <c r="B31" s="1" t="s">
        <v>75</v>
      </c>
      <c r="D31" s="7"/>
      <c r="E31" s="7"/>
      <c r="F31" s="7"/>
      <c r="G31" s="7"/>
      <c r="H31" s="7"/>
      <c r="I31" s="7"/>
      <c r="J31" s="7"/>
      <c r="K31" s="8"/>
    </row>
    <row r="32" spans="4:11" ht="12.75">
      <c r="D32" s="7"/>
      <c r="E32" s="7"/>
      <c r="F32" s="7"/>
      <c r="G32" s="7"/>
      <c r="H32" s="7"/>
      <c r="I32" s="7"/>
      <c r="J32" s="7"/>
      <c r="K32" s="8"/>
    </row>
    <row r="33" spans="1:11" ht="12.75">
      <c r="A33" s="1" t="s">
        <v>81</v>
      </c>
      <c r="D33" s="7"/>
      <c r="E33" s="7"/>
      <c r="F33" s="7"/>
      <c r="G33" s="7"/>
      <c r="H33" s="7"/>
      <c r="I33" s="7"/>
      <c r="J33" s="7"/>
      <c r="K33" s="8"/>
    </row>
    <row r="34" spans="4:11" ht="12.75">
      <c r="D34" s="7"/>
      <c r="E34" s="7"/>
      <c r="F34" s="7"/>
      <c r="G34" s="7"/>
      <c r="H34" s="7"/>
      <c r="I34" s="7"/>
      <c r="J34" s="7"/>
      <c r="K34" s="8"/>
    </row>
    <row r="35" spans="4:11" ht="12.75">
      <c r="D35" s="7"/>
      <c r="E35" s="7"/>
      <c r="F35" s="7"/>
      <c r="G35" s="7"/>
      <c r="H35" s="7"/>
      <c r="I35" s="7"/>
      <c r="J35" s="7"/>
      <c r="K35" s="8"/>
    </row>
    <row r="36" spans="4:11" ht="12.75">
      <c r="D36" s="7"/>
      <c r="E36" s="7"/>
      <c r="F36" s="7"/>
      <c r="G36" s="7"/>
      <c r="H36" s="7"/>
      <c r="I36" s="7"/>
      <c r="J36" s="7"/>
      <c r="K36" s="8"/>
    </row>
    <row r="37" spans="2:11" ht="12.75">
      <c r="B37" s="90"/>
      <c r="C37" s="90"/>
      <c r="D37" s="90"/>
      <c r="E37" s="90"/>
      <c r="F37" s="90"/>
      <c r="G37" s="90"/>
      <c r="H37" s="90"/>
      <c r="I37" s="90"/>
      <c r="J37" s="91"/>
      <c r="K37" s="8"/>
    </row>
    <row r="38" ht="12.75"/>
    <row r="39" ht="12.75"/>
    <row r="40" ht="12.75"/>
  </sheetData>
  <sheetProtection/>
  <mergeCells count="3">
    <mergeCell ref="B6:K6"/>
    <mergeCell ref="A1:L1"/>
    <mergeCell ref="A2:L2"/>
  </mergeCells>
  <printOptions/>
  <pageMargins left="0.75" right="0.75" top="1" bottom="1" header="0.5" footer="0.5"/>
  <pageSetup horizontalDpi="600" verticalDpi="600" orientation="portrait" r:id="rId2"/>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Fonsah</dc:creator>
  <cp:keywords/>
  <dc:description/>
  <cp:lastModifiedBy>Guy Albritton Hancock</cp:lastModifiedBy>
  <cp:lastPrinted>2020-03-19T13:28:57Z</cp:lastPrinted>
  <dcterms:created xsi:type="dcterms:W3CDTF">2017-01-27T13:31:33Z</dcterms:created>
  <dcterms:modified xsi:type="dcterms:W3CDTF">2024-01-31T22:25:11Z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0x010100F8CF221911E6094A9806396E4589B962</vt:lpwstr>
  </property>
  <property fmtid="{D5CDD505-2E9C-101B-9397-08002B2CF9AE}" pid="3" name="_ip_UnifiedCompliancePolicyUIAction">
    <vt:lpwstr/>
  </property>
  <property fmtid="{D5CDD505-2E9C-101B-9397-08002B2CF9AE}" pid="4" name="_ip_UnifiedCompliancePolicyProperties">
    <vt:lpwstr/>
  </property>
</Properties>
</file>